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weeney\Documents\"/>
    </mc:Choice>
  </mc:AlternateContent>
  <bookViews>
    <workbookView xWindow="105" yWindow="105" windowWidth="18195" windowHeight="10305"/>
  </bookViews>
  <sheets>
    <sheet name="EarlyChildProgram estimates" sheetId="1" r:id="rId1"/>
    <sheet name="Results presentations" sheetId="5" r:id="rId2"/>
    <sheet name="Impact Results" sheetId="6" r:id="rId3"/>
    <sheet name="Annual compensation rate" sheetId="4" r:id="rId4"/>
    <sheet name="population estimates by age" sheetId="2" r:id="rId5"/>
    <sheet name="2015 jobs compensation" sheetId="3" r:id="rId6"/>
  </sheets>
  <calcPr calcId="152511"/>
</workbook>
</file>

<file path=xl/calcChain.xml><?xml version="1.0" encoding="utf-8"?>
<calcChain xmlns="http://schemas.openxmlformats.org/spreadsheetml/2006/main">
  <c r="K99" i="5" l="1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L58" i="5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M99" i="5" s="1"/>
  <c r="N99" i="5" s="1"/>
  <c r="M57" i="5"/>
  <c r="N57" i="5" s="1"/>
  <c r="M7" i="5"/>
  <c r="L8" i="5"/>
  <c r="L9" i="5" s="1"/>
  <c r="M58" i="5" l="1"/>
  <c r="N58" i="5" s="1"/>
  <c r="M9" i="5"/>
  <c r="L10" i="5"/>
  <c r="M8" i="5"/>
  <c r="M59" i="5"/>
  <c r="N59" i="5" s="1"/>
  <c r="M60" i="5"/>
  <c r="N60" i="5" s="1"/>
  <c r="M61" i="5"/>
  <c r="N61" i="5" s="1"/>
  <c r="M62" i="5"/>
  <c r="N62" i="5" s="1"/>
  <c r="M63" i="5"/>
  <c r="N63" i="5" s="1"/>
  <c r="M64" i="5"/>
  <c r="N64" i="5" s="1"/>
  <c r="M65" i="5"/>
  <c r="N65" i="5" s="1"/>
  <c r="M66" i="5"/>
  <c r="N66" i="5" s="1"/>
  <c r="M67" i="5"/>
  <c r="N67" i="5" s="1"/>
  <c r="M68" i="5"/>
  <c r="N68" i="5" s="1"/>
  <c r="M69" i="5"/>
  <c r="N69" i="5" s="1"/>
  <c r="M70" i="5"/>
  <c r="N70" i="5" s="1"/>
  <c r="M71" i="5"/>
  <c r="N71" i="5" s="1"/>
  <c r="M72" i="5"/>
  <c r="N72" i="5" s="1"/>
  <c r="M73" i="5"/>
  <c r="N73" i="5" s="1"/>
  <c r="M74" i="5"/>
  <c r="N74" i="5" s="1"/>
  <c r="M75" i="5"/>
  <c r="N75" i="5" s="1"/>
  <c r="M76" i="5"/>
  <c r="N76" i="5" s="1"/>
  <c r="M77" i="5"/>
  <c r="N77" i="5" s="1"/>
  <c r="M78" i="5"/>
  <c r="N78" i="5" s="1"/>
  <c r="M79" i="5"/>
  <c r="N79" i="5" s="1"/>
  <c r="M80" i="5"/>
  <c r="N80" i="5" s="1"/>
  <c r="M81" i="5"/>
  <c r="N81" i="5" s="1"/>
  <c r="M82" i="5"/>
  <c r="N82" i="5" s="1"/>
  <c r="M83" i="5"/>
  <c r="N83" i="5" s="1"/>
  <c r="M84" i="5"/>
  <c r="N84" i="5" s="1"/>
  <c r="M85" i="5"/>
  <c r="N85" i="5" s="1"/>
  <c r="M86" i="5"/>
  <c r="N86" i="5" s="1"/>
  <c r="M87" i="5"/>
  <c r="N87" i="5" s="1"/>
  <c r="M88" i="5"/>
  <c r="N88" i="5" s="1"/>
  <c r="M89" i="5"/>
  <c r="N89" i="5" s="1"/>
  <c r="M90" i="5"/>
  <c r="N90" i="5" s="1"/>
  <c r="M91" i="5"/>
  <c r="N91" i="5" s="1"/>
  <c r="M92" i="5"/>
  <c r="N92" i="5" s="1"/>
  <c r="M93" i="5"/>
  <c r="N93" i="5" s="1"/>
  <c r="M94" i="5"/>
  <c r="N94" i="5" s="1"/>
  <c r="M95" i="5"/>
  <c r="N95" i="5" s="1"/>
  <c r="M96" i="5"/>
  <c r="N96" i="5" s="1"/>
  <c r="M97" i="5"/>
  <c r="N97" i="5" s="1"/>
  <c r="M98" i="5"/>
  <c r="N98" i="5" s="1"/>
  <c r="C10" i="1"/>
  <c r="L11" i="5" l="1"/>
  <c r="M10" i="5"/>
  <c r="N100" i="5"/>
  <c r="D9" i="1"/>
  <c r="L12" i="5" l="1"/>
  <c r="M11" i="5"/>
  <c r="D101" i="5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G49" i="5"/>
  <c r="K49" i="5" s="1"/>
  <c r="G48" i="5"/>
  <c r="K48" i="5" s="1"/>
  <c r="G47" i="5"/>
  <c r="K47" i="5" s="1"/>
  <c r="G46" i="5"/>
  <c r="K46" i="5" s="1"/>
  <c r="G45" i="5"/>
  <c r="K45" i="5" s="1"/>
  <c r="G44" i="5"/>
  <c r="K44" i="5" s="1"/>
  <c r="G43" i="5"/>
  <c r="K43" i="5" s="1"/>
  <c r="G42" i="5"/>
  <c r="K42" i="5" s="1"/>
  <c r="G41" i="5"/>
  <c r="K41" i="5" s="1"/>
  <c r="G40" i="5"/>
  <c r="K40" i="5" s="1"/>
  <c r="G39" i="5"/>
  <c r="K39" i="5" s="1"/>
  <c r="G38" i="5"/>
  <c r="K38" i="5" s="1"/>
  <c r="G37" i="5"/>
  <c r="K37" i="5" s="1"/>
  <c r="G36" i="5"/>
  <c r="K36" i="5" s="1"/>
  <c r="G35" i="5"/>
  <c r="K35" i="5" s="1"/>
  <c r="G34" i="5"/>
  <c r="K34" i="5" s="1"/>
  <c r="G33" i="5"/>
  <c r="K33" i="5" s="1"/>
  <c r="G32" i="5"/>
  <c r="K32" i="5" s="1"/>
  <c r="G31" i="5"/>
  <c r="K31" i="5" s="1"/>
  <c r="G30" i="5"/>
  <c r="K30" i="5" s="1"/>
  <c r="G29" i="5"/>
  <c r="K29" i="5" s="1"/>
  <c r="G28" i="5"/>
  <c r="K28" i="5" s="1"/>
  <c r="G27" i="5"/>
  <c r="K27" i="5" s="1"/>
  <c r="G26" i="5"/>
  <c r="K26" i="5" s="1"/>
  <c r="G25" i="5"/>
  <c r="K25" i="5" s="1"/>
  <c r="G24" i="5"/>
  <c r="K24" i="5" s="1"/>
  <c r="G23" i="5"/>
  <c r="K23" i="5" s="1"/>
  <c r="G22" i="5"/>
  <c r="K22" i="5" s="1"/>
  <c r="G21" i="5"/>
  <c r="K21" i="5" s="1"/>
  <c r="G20" i="5"/>
  <c r="K20" i="5" s="1"/>
  <c r="G19" i="5"/>
  <c r="K19" i="5" s="1"/>
  <c r="G18" i="5"/>
  <c r="K18" i="5" s="1"/>
  <c r="G17" i="5"/>
  <c r="K17" i="5" s="1"/>
  <c r="G16" i="5"/>
  <c r="K16" i="5" s="1"/>
  <c r="G15" i="5"/>
  <c r="K15" i="5" s="1"/>
  <c r="G14" i="5"/>
  <c r="K14" i="5" s="1"/>
  <c r="G13" i="5"/>
  <c r="K13" i="5" s="1"/>
  <c r="G12" i="5"/>
  <c r="K12" i="5" s="1"/>
  <c r="G11" i="5"/>
  <c r="K11" i="5" s="1"/>
  <c r="G10" i="5"/>
  <c r="K10" i="5" s="1"/>
  <c r="N10" i="5" s="1"/>
  <c r="G9" i="5"/>
  <c r="K9" i="5" s="1"/>
  <c r="N9" i="5" s="1"/>
  <c r="G8" i="5"/>
  <c r="K8" i="5" s="1"/>
  <c r="N8" i="5" s="1"/>
  <c r="G7" i="5"/>
  <c r="G50" i="5" l="1"/>
  <c r="G51" i="5" s="1"/>
  <c r="K7" i="5"/>
  <c r="N7" i="5" s="1"/>
  <c r="N11" i="5"/>
  <c r="L13" i="5"/>
  <c r="M12" i="5"/>
  <c r="N12" i="5" s="1"/>
  <c r="G64" i="6"/>
  <c r="G29" i="6"/>
  <c r="G11" i="6" s="1"/>
  <c r="L14" i="5" l="1"/>
  <c r="M13" i="5"/>
  <c r="N13" i="5" s="1"/>
  <c r="E14" i="1"/>
  <c r="E9" i="1"/>
  <c r="H14" i="1" l="1"/>
  <c r="Q15" i="1"/>
  <c r="L15" i="5"/>
  <c r="M14" i="5"/>
  <c r="N14" i="5" s="1"/>
  <c r="B15" i="1"/>
  <c r="H10" i="1"/>
  <c r="L16" i="5" l="1"/>
  <c r="M15" i="5"/>
  <c r="N15" i="5" s="1"/>
  <c r="G46" i="6"/>
  <c r="AW64" i="6"/>
  <c r="AW46" i="6" s="1"/>
  <c r="AV64" i="6"/>
  <c r="AV46" i="6" s="1"/>
  <c r="AU64" i="6"/>
  <c r="AU46" i="6" s="1"/>
  <c r="AT64" i="6"/>
  <c r="AT46" i="6" s="1"/>
  <c r="AS64" i="6"/>
  <c r="AS46" i="6" s="1"/>
  <c r="AR64" i="6"/>
  <c r="AR46" i="6" s="1"/>
  <c r="AQ64" i="6"/>
  <c r="AQ46" i="6" s="1"/>
  <c r="AP64" i="6"/>
  <c r="AP46" i="6" s="1"/>
  <c r="AO64" i="6"/>
  <c r="AO46" i="6" s="1"/>
  <c r="AN64" i="6"/>
  <c r="AN46" i="6" s="1"/>
  <c r="AM64" i="6"/>
  <c r="AM46" i="6" s="1"/>
  <c r="AL64" i="6"/>
  <c r="AL46" i="6" s="1"/>
  <c r="AK64" i="6"/>
  <c r="AK46" i="6" s="1"/>
  <c r="AJ64" i="6"/>
  <c r="AJ46" i="6" s="1"/>
  <c r="AI64" i="6"/>
  <c r="AI46" i="6" s="1"/>
  <c r="AH64" i="6"/>
  <c r="AH46" i="6" s="1"/>
  <c r="AG64" i="6"/>
  <c r="AG46" i="6" s="1"/>
  <c r="AF64" i="6"/>
  <c r="AF46" i="6" s="1"/>
  <c r="AE64" i="6"/>
  <c r="AE46" i="6" s="1"/>
  <c r="AD64" i="6"/>
  <c r="AD46" i="6" s="1"/>
  <c r="AC64" i="6"/>
  <c r="AC46" i="6" s="1"/>
  <c r="AB64" i="6"/>
  <c r="AB46" i="6" s="1"/>
  <c r="AA64" i="6"/>
  <c r="AA46" i="6" s="1"/>
  <c r="Z64" i="6"/>
  <c r="Z46" i="6" s="1"/>
  <c r="Y64" i="6"/>
  <c r="Y46" i="6" s="1"/>
  <c r="X64" i="6"/>
  <c r="X46" i="6" s="1"/>
  <c r="W64" i="6"/>
  <c r="W46" i="6" s="1"/>
  <c r="V64" i="6"/>
  <c r="V46" i="6" s="1"/>
  <c r="U64" i="6"/>
  <c r="U46" i="6" s="1"/>
  <c r="T64" i="6"/>
  <c r="T46" i="6" s="1"/>
  <c r="S64" i="6"/>
  <c r="S46" i="6" s="1"/>
  <c r="R64" i="6"/>
  <c r="R46" i="6" s="1"/>
  <c r="Q64" i="6"/>
  <c r="Q46" i="6" s="1"/>
  <c r="P64" i="6"/>
  <c r="P46" i="6" s="1"/>
  <c r="O64" i="6"/>
  <c r="O46" i="6" s="1"/>
  <c r="N64" i="6"/>
  <c r="N46" i="6" s="1"/>
  <c r="M64" i="6"/>
  <c r="M46" i="6" s="1"/>
  <c r="L64" i="6"/>
  <c r="L46" i="6" s="1"/>
  <c r="K64" i="6"/>
  <c r="K46" i="6" s="1"/>
  <c r="J64" i="6"/>
  <c r="J46" i="6" s="1"/>
  <c r="I64" i="6"/>
  <c r="I46" i="6" s="1"/>
  <c r="H64" i="6"/>
  <c r="H46" i="6" s="1"/>
  <c r="AW29" i="6"/>
  <c r="AW11" i="6" s="1"/>
  <c r="AV29" i="6"/>
  <c r="AV11" i="6" s="1"/>
  <c r="AU29" i="6"/>
  <c r="AU11" i="6" s="1"/>
  <c r="AT29" i="6"/>
  <c r="AT11" i="6" s="1"/>
  <c r="AS29" i="6"/>
  <c r="AS11" i="6" s="1"/>
  <c r="AR29" i="6"/>
  <c r="AR11" i="6" s="1"/>
  <c r="AQ29" i="6"/>
  <c r="AQ11" i="6" s="1"/>
  <c r="AP29" i="6"/>
  <c r="AP11" i="6" s="1"/>
  <c r="AO29" i="6"/>
  <c r="AO11" i="6" s="1"/>
  <c r="AN29" i="6"/>
  <c r="AN11" i="6" s="1"/>
  <c r="AM29" i="6"/>
  <c r="AM11" i="6" s="1"/>
  <c r="AL29" i="6"/>
  <c r="AL11" i="6" s="1"/>
  <c r="AK29" i="6"/>
  <c r="AK11" i="6" s="1"/>
  <c r="AJ29" i="6"/>
  <c r="AJ11" i="6" s="1"/>
  <c r="AI29" i="6"/>
  <c r="AI11" i="6" s="1"/>
  <c r="AH29" i="6"/>
  <c r="AH11" i="6" s="1"/>
  <c r="AG29" i="6"/>
  <c r="AG11" i="6" s="1"/>
  <c r="AF29" i="6"/>
  <c r="AF11" i="6" s="1"/>
  <c r="AE29" i="6"/>
  <c r="AE11" i="6" s="1"/>
  <c r="AD29" i="6"/>
  <c r="AD11" i="6" s="1"/>
  <c r="AC29" i="6"/>
  <c r="AC11" i="6" s="1"/>
  <c r="AB29" i="6"/>
  <c r="AB11" i="6" s="1"/>
  <c r="AA29" i="6"/>
  <c r="AA11" i="6" s="1"/>
  <c r="Z29" i="6"/>
  <c r="Z11" i="6" s="1"/>
  <c r="Y29" i="6"/>
  <c r="Y11" i="6" s="1"/>
  <c r="X29" i="6"/>
  <c r="X11" i="6" s="1"/>
  <c r="W29" i="6"/>
  <c r="W11" i="6" s="1"/>
  <c r="V29" i="6"/>
  <c r="V11" i="6" s="1"/>
  <c r="U29" i="6"/>
  <c r="U11" i="6" s="1"/>
  <c r="T29" i="6"/>
  <c r="T11" i="6" s="1"/>
  <c r="S29" i="6"/>
  <c r="S11" i="6" s="1"/>
  <c r="R29" i="6"/>
  <c r="R11" i="6" s="1"/>
  <c r="Q29" i="6"/>
  <c r="Q11" i="6" s="1"/>
  <c r="P29" i="6"/>
  <c r="P11" i="6" s="1"/>
  <c r="O29" i="6"/>
  <c r="O11" i="6" s="1"/>
  <c r="N29" i="6"/>
  <c r="N11" i="6" s="1"/>
  <c r="M29" i="6"/>
  <c r="M11" i="6" s="1"/>
  <c r="L29" i="6"/>
  <c r="L11" i="6" s="1"/>
  <c r="K29" i="6"/>
  <c r="K11" i="6" s="1"/>
  <c r="J29" i="6"/>
  <c r="J11" i="6" s="1"/>
  <c r="I29" i="6"/>
  <c r="I11" i="6" s="1"/>
  <c r="H29" i="6"/>
  <c r="H11" i="6" s="1"/>
  <c r="L17" i="5" l="1"/>
  <c r="M16" i="5"/>
  <c r="N16" i="5" s="1"/>
  <c r="Q52" i="1"/>
  <c r="L18" i="5" l="1"/>
  <c r="M17" i="5"/>
  <c r="N17" i="5" s="1"/>
  <c r="L19" i="5" l="1"/>
  <c r="M18" i="5"/>
  <c r="N18" i="5" s="1"/>
  <c r="Q70" i="1"/>
  <c r="L67" i="1"/>
  <c r="L4" i="1"/>
  <c r="Q42" i="1"/>
  <c r="L20" i="5" l="1"/>
  <c r="M19" i="5"/>
  <c r="N19" i="5" s="1"/>
  <c r="Q64" i="1"/>
  <c r="Q59" i="1"/>
  <c r="Q46" i="1"/>
  <c r="L21" i="5" l="1"/>
  <c r="M20" i="5"/>
  <c r="N20" i="5" s="1"/>
  <c r="E82" i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D77" i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C77" i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L22" i="5" l="1"/>
  <c r="M21" i="5"/>
  <c r="N21" i="5" s="1"/>
  <c r="L23" i="5" l="1"/>
  <c r="M22" i="5"/>
  <c r="N22" i="5" s="1"/>
  <c r="H73" i="3"/>
  <c r="H35" i="3"/>
  <c r="H22" i="3"/>
  <c r="H103" i="3"/>
  <c r="H77" i="3"/>
  <c r="H89" i="3"/>
  <c r="H6" i="3"/>
  <c r="H123" i="3"/>
  <c r="H48" i="3"/>
  <c r="H23" i="3"/>
  <c r="H8" i="3"/>
  <c r="H34" i="3"/>
  <c r="H63" i="3"/>
  <c r="H19" i="3"/>
  <c r="H50" i="3"/>
  <c r="H11" i="3"/>
  <c r="H82" i="3"/>
  <c r="H109" i="3"/>
  <c r="H130" i="3"/>
  <c r="H41" i="3"/>
  <c r="H29" i="3"/>
  <c r="H57" i="3"/>
  <c r="H31" i="3"/>
  <c r="H70" i="3"/>
  <c r="H135" i="3"/>
  <c r="H59" i="3"/>
  <c r="H47" i="3"/>
  <c r="H38" i="3"/>
  <c r="H66" i="3"/>
  <c r="H33" i="3"/>
  <c r="H88" i="3"/>
  <c r="H67" i="3"/>
  <c r="H90" i="3"/>
  <c r="H65" i="3"/>
  <c r="H125" i="3"/>
  <c r="H46" i="3"/>
  <c r="H30" i="3"/>
  <c r="H87" i="3"/>
  <c r="H44" i="3"/>
  <c r="H36" i="3"/>
  <c r="H64" i="3"/>
  <c r="H105" i="3"/>
  <c r="H120" i="3"/>
  <c r="H9" i="3"/>
  <c r="H122" i="3"/>
  <c r="H21" i="3"/>
  <c r="H74" i="3"/>
  <c r="H10" i="3"/>
  <c r="H14" i="3"/>
  <c r="H99" i="3"/>
  <c r="H24" i="3"/>
  <c r="H26" i="3"/>
  <c r="H39" i="3"/>
  <c r="H28" i="3"/>
  <c r="H76" i="3"/>
  <c r="H17" i="3"/>
  <c r="H60" i="3"/>
  <c r="H25" i="3"/>
  <c r="H13" i="3"/>
  <c r="H85" i="3"/>
  <c r="H133" i="3"/>
  <c r="H20" i="3"/>
  <c r="H144" i="3"/>
  <c r="H86" i="3"/>
  <c r="H5" i="3"/>
  <c r="H43" i="3"/>
  <c r="H56" i="3"/>
  <c r="H158" i="3"/>
  <c r="H15" i="3"/>
  <c r="H117" i="3"/>
  <c r="H75" i="3"/>
  <c r="H111" i="3"/>
  <c r="H62" i="3"/>
  <c r="H129" i="3"/>
  <c r="H101" i="3"/>
  <c r="H32" i="3"/>
  <c r="H118" i="3"/>
  <c r="H115" i="3"/>
  <c r="H94" i="3"/>
  <c r="H157" i="3"/>
  <c r="H96" i="3"/>
  <c r="H40" i="3"/>
  <c r="H61" i="3"/>
  <c r="H52" i="3"/>
  <c r="H84" i="3"/>
  <c r="H51" i="3"/>
  <c r="H104" i="3"/>
  <c r="H155" i="3"/>
  <c r="H4" i="3"/>
  <c r="H91" i="3"/>
  <c r="H143" i="3"/>
  <c r="H128" i="3"/>
  <c r="H142" i="3"/>
  <c r="H110" i="3"/>
  <c r="H58" i="3"/>
  <c r="H92" i="3"/>
  <c r="H78" i="3"/>
  <c r="H45" i="3"/>
  <c r="H68" i="3"/>
  <c r="H126" i="3"/>
  <c r="H71" i="3"/>
  <c r="H72" i="3"/>
  <c r="H159" i="3"/>
  <c r="H80" i="3"/>
  <c r="H37" i="3"/>
  <c r="H83" i="3"/>
  <c r="H27" i="3"/>
  <c r="H12" i="3"/>
  <c r="H7" i="3"/>
  <c r="H140" i="3"/>
  <c r="H113" i="3"/>
  <c r="H152" i="3"/>
  <c r="H55" i="3"/>
  <c r="H107" i="3"/>
  <c r="H139" i="3"/>
  <c r="H69" i="3"/>
  <c r="H131" i="3"/>
  <c r="H42" i="3"/>
  <c r="H151" i="3"/>
  <c r="H79" i="3"/>
  <c r="H97" i="3"/>
  <c r="H154" i="3"/>
  <c r="H112" i="3"/>
  <c r="H134" i="3"/>
  <c r="H116" i="3"/>
  <c r="H100" i="3"/>
  <c r="H93" i="3"/>
  <c r="H150" i="3"/>
  <c r="H102" i="3"/>
  <c r="H16" i="3"/>
  <c r="H18" i="3"/>
  <c r="H149" i="3"/>
  <c r="H136" i="3"/>
  <c r="H95" i="3"/>
  <c r="H141" i="3"/>
  <c r="H106" i="3"/>
  <c r="H98" i="3"/>
  <c r="H148" i="3"/>
  <c r="H138" i="3"/>
  <c r="H156" i="3"/>
  <c r="H145" i="3"/>
  <c r="H81" i="3"/>
  <c r="H124" i="3"/>
  <c r="H121" i="3"/>
  <c r="H127" i="3"/>
  <c r="H108" i="3"/>
  <c r="H147" i="3"/>
  <c r="H114" i="3"/>
  <c r="H54" i="3"/>
  <c r="H137" i="3"/>
  <c r="H53" i="3"/>
  <c r="H153" i="3"/>
  <c r="H49" i="3"/>
  <c r="H119" i="3"/>
  <c r="H146" i="3"/>
  <c r="H132" i="3"/>
  <c r="I151" i="3"/>
  <c r="I71" i="3"/>
  <c r="I124" i="3"/>
  <c r="I155" i="3"/>
  <c r="I154" i="3"/>
  <c r="I152" i="3"/>
  <c r="I156" i="3"/>
  <c r="I144" i="3"/>
  <c r="I126" i="3"/>
  <c r="I120" i="3"/>
  <c r="I141" i="3"/>
  <c r="I146" i="3"/>
  <c r="I114" i="3"/>
  <c r="I136" i="3"/>
  <c r="I130" i="3"/>
  <c r="I159" i="3"/>
  <c r="I158" i="3"/>
  <c r="I157" i="3"/>
  <c r="I148" i="3"/>
  <c r="I145" i="3"/>
  <c r="I121" i="3"/>
  <c r="I54" i="3"/>
  <c r="I112" i="3"/>
  <c r="I100" i="3"/>
  <c r="I49" i="3"/>
  <c r="I127" i="3"/>
  <c r="I78" i="3"/>
  <c r="I147" i="3"/>
  <c r="I109" i="3"/>
  <c r="I138" i="3"/>
  <c r="I137" i="3"/>
  <c r="I116" i="3"/>
  <c r="I16" i="3"/>
  <c r="I139" i="3"/>
  <c r="I118" i="3"/>
  <c r="I28" i="3"/>
  <c r="I107" i="3"/>
  <c r="I69" i="3"/>
  <c r="I105" i="3"/>
  <c r="I97" i="3"/>
  <c r="I134" i="3"/>
  <c r="I95" i="3"/>
  <c r="I48" i="3"/>
  <c r="I86" i="3"/>
  <c r="I128" i="3"/>
  <c r="I129" i="3"/>
  <c r="I153" i="3"/>
  <c r="I93" i="3"/>
  <c r="I79" i="3"/>
  <c r="I149" i="3"/>
  <c r="I6" i="3"/>
  <c r="I81" i="3"/>
  <c r="I42" i="3"/>
  <c r="I94" i="3"/>
  <c r="I96" i="3"/>
  <c r="I133" i="3"/>
  <c r="I30" i="3"/>
  <c r="I104" i="3"/>
  <c r="I102" i="3"/>
  <c r="I83" i="3"/>
  <c r="I10" i="3"/>
  <c r="I142" i="3"/>
  <c r="I113" i="3"/>
  <c r="I108" i="3"/>
  <c r="I17" i="3"/>
  <c r="I5" i="3"/>
  <c r="I135" i="3"/>
  <c r="I132" i="3"/>
  <c r="I53" i="3"/>
  <c r="I40" i="3"/>
  <c r="I72" i="3"/>
  <c r="I39" i="3"/>
  <c r="I38" i="3"/>
  <c r="I34" i="3"/>
  <c r="I13" i="3"/>
  <c r="I21" i="3"/>
  <c r="I14" i="3"/>
  <c r="I20" i="3"/>
  <c r="I4" i="3"/>
  <c r="I115" i="3"/>
  <c r="I32" i="3"/>
  <c r="I15" i="3"/>
  <c r="I117" i="3"/>
  <c r="I84" i="3"/>
  <c r="I73" i="3"/>
  <c r="I88" i="3"/>
  <c r="I11" i="3"/>
  <c r="I99" i="3"/>
  <c r="I110" i="3"/>
  <c r="I106" i="3"/>
  <c r="I87" i="3"/>
  <c r="I70" i="3"/>
  <c r="I89" i="3"/>
  <c r="I67" i="3"/>
  <c r="I90" i="3"/>
  <c r="I101" i="3"/>
  <c r="I76" i="3"/>
  <c r="I111" i="3"/>
  <c r="I98" i="3"/>
  <c r="I123" i="3"/>
  <c r="I18" i="3"/>
  <c r="I103" i="3"/>
  <c r="I51" i="3"/>
  <c r="I55" i="3"/>
  <c r="I85" i="3"/>
  <c r="I12" i="3"/>
  <c r="I19" i="3"/>
  <c r="I37" i="3"/>
  <c r="I64" i="3"/>
  <c r="I36" i="3"/>
  <c r="I35" i="3"/>
  <c r="I33" i="3"/>
  <c r="I57" i="3"/>
  <c r="I22" i="3"/>
  <c r="I44" i="3"/>
  <c r="I41" i="3"/>
  <c r="I45" i="3"/>
  <c r="I56" i="3"/>
  <c r="I46" i="3"/>
  <c r="I91" i="3"/>
  <c r="I24" i="3"/>
  <c r="I47" i="3"/>
  <c r="I58" i="3"/>
  <c r="I61" i="3"/>
  <c r="I65" i="3"/>
  <c r="I60" i="3"/>
  <c r="I63" i="3"/>
  <c r="I59" i="3"/>
  <c r="I43" i="3"/>
  <c r="I68" i="3"/>
  <c r="I77" i="3"/>
  <c r="I50" i="3"/>
  <c r="I31" i="3"/>
  <c r="I29" i="3"/>
  <c r="I23" i="3"/>
  <c r="I26" i="3"/>
  <c r="I25" i="3"/>
  <c r="I66" i="3"/>
  <c r="I75" i="3"/>
  <c r="I74" i="3"/>
  <c r="I82" i="3"/>
  <c r="I92" i="3"/>
  <c r="I52" i="3"/>
  <c r="I80" i="3"/>
  <c r="I119" i="3"/>
  <c r="I62" i="3"/>
  <c r="I9" i="3"/>
  <c r="I7" i="3"/>
  <c r="I27" i="3"/>
  <c r="I125" i="3"/>
  <c r="I8" i="3"/>
  <c r="I122" i="3"/>
  <c r="I150" i="3"/>
  <c r="I131" i="3"/>
  <c r="I140" i="3"/>
  <c r="I143" i="3"/>
  <c r="F9" i="1"/>
  <c r="D10" i="1" s="1"/>
  <c r="F58" i="1"/>
  <c r="L24" i="5" l="1"/>
  <c r="M23" i="5"/>
  <c r="N23" i="5" s="1"/>
  <c r="K14" i="1"/>
  <c r="L14" i="1" s="1"/>
  <c r="I10" i="1"/>
  <c r="I161" i="3"/>
  <c r="J14" i="3" s="1"/>
  <c r="L25" i="5" l="1"/>
  <c r="M24" i="5"/>
  <c r="N24" i="5" s="1"/>
  <c r="J9" i="1"/>
  <c r="E54" i="1" s="1"/>
  <c r="F14" i="1"/>
  <c r="J158" i="3"/>
  <c r="J113" i="3"/>
  <c r="J156" i="3"/>
  <c r="J137" i="3"/>
  <c r="J90" i="3"/>
  <c r="J63" i="3"/>
  <c r="J148" i="3"/>
  <c r="J42" i="3"/>
  <c r="J124" i="3"/>
  <c r="J141" i="3"/>
  <c r="J49" i="3"/>
  <c r="J153" i="3"/>
  <c r="J4" i="3"/>
  <c r="J64" i="3"/>
  <c r="J119" i="3"/>
  <c r="J107" i="3"/>
  <c r="J72" i="3"/>
  <c r="J105" i="3"/>
  <c r="J96" i="3"/>
  <c r="J53" i="3"/>
  <c r="J11" i="3"/>
  <c r="J51" i="3"/>
  <c r="J46" i="3"/>
  <c r="J25" i="3"/>
  <c r="J150" i="3"/>
  <c r="J109" i="3"/>
  <c r="J128" i="3"/>
  <c r="J10" i="3"/>
  <c r="J71" i="3"/>
  <c r="J155" i="3"/>
  <c r="J152" i="3"/>
  <c r="J144" i="3"/>
  <c r="J120" i="3"/>
  <c r="J146" i="3"/>
  <c r="J136" i="3"/>
  <c r="J157" i="3"/>
  <c r="J54" i="3"/>
  <c r="J127" i="3"/>
  <c r="J138" i="3"/>
  <c r="J139" i="3"/>
  <c r="J69" i="3"/>
  <c r="J95" i="3"/>
  <c r="J129" i="3"/>
  <c r="J149" i="3"/>
  <c r="J94" i="3"/>
  <c r="J104" i="3"/>
  <c r="J142" i="3"/>
  <c r="J5" i="3"/>
  <c r="J40" i="3"/>
  <c r="J34" i="3"/>
  <c r="J20" i="3"/>
  <c r="J15" i="3"/>
  <c r="J88" i="3"/>
  <c r="J106" i="3"/>
  <c r="J67" i="3"/>
  <c r="J111" i="3"/>
  <c r="J103" i="3"/>
  <c r="J12" i="3"/>
  <c r="J36" i="3"/>
  <c r="J22" i="3"/>
  <c r="J56" i="3"/>
  <c r="J47" i="3"/>
  <c r="J60" i="3"/>
  <c r="J68" i="3"/>
  <c r="J29" i="3"/>
  <c r="J66" i="3"/>
  <c r="J92" i="3"/>
  <c r="J62" i="3"/>
  <c r="J125" i="3"/>
  <c r="J131" i="3"/>
  <c r="J159" i="3"/>
  <c r="J145" i="3"/>
  <c r="J100" i="3"/>
  <c r="J147" i="3"/>
  <c r="J116" i="3"/>
  <c r="J28" i="3"/>
  <c r="J97" i="3"/>
  <c r="J86" i="3"/>
  <c r="J93" i="3"/>
  <c r="J81" i="3"/>
  <c r="J133" i="3"/>
  <c r="J83" i="3"/>
  <c r="J108" i="3"/>
  <c r="J132" i="3"/>
  <c r="J39" i="3"/>
  <c r="J21" i="3"/>
  <c r="J115" i="3"/>
  <c r="J84" i="3"/>
  <c r="J99" i="3"/>
  <c r="J70" i="3"/>
  <c r="J101" i="3"/>
  <c r="J123" i="3"/>
  <c r="J55" i="3"/>
  <c r="J37" i="3"/>
  <c r="J33" i="3"/>
  <c r="J41" i="3"/>
  <c r="J91" i="3"/>
  <c r="J61" i="3"/>
  <c r="J59" i="3"/>
  <c r="J50" i="3"/>
  <c r="J26" i="3"/>
  <c r="J74" i="3"/>
  <c r="J80" i="3"/>
  <c r="J7" i="3"/>
  <c r="J122" i="3"/>
  <c r="J143" i="3"/>
  <c r="J110" i="3"/>
  <c r="J76" i="3"/>
  <c r="J85" i="3"/>
  <c r="J57" i="3"/>
  <c r="J24" i="3"/>
  <c r="J43" i="3"/>
  <c r="J23" i="3"/>
  <c r="J52" i="3"/>
  <c r="J8" i="3"/>
  <c r="J151" i="3"/>
  <c r="J154" i="3"/>
  <c r="J126" i="3"/>
  <c r="J130" i="3"/>
  <c r="J121" i="3"/>
  <c r="J78" i="3"/>
  <c r="J118" i="3"/>
  <c r="J48" i="3"/>
  <c r="J79" i="3"/>
  <c r="J102" i="3"/>
  <c r="J135" i="3"/>
  <c r="J13" i="3"/>
  <c r="J117" i="3"/>
  <c r="J87" i="3"/>
  <c r="J98" i="3"/>
  <c r="J19" i="3"/>
  <c r="J44" i="3"/>
  <c r="J58" i="3"/>
  <c r="J31" i="3"/>
  <c r="J82" i="3"/>
  <c r="J27" i="3"/>
  <c r="J114" i="3"/>
  <c r="J112" i="3"/>
  <c r="J16" i="3"/>
  <c r="J134" i="3"/>
  <c r="J6" i="3"/>
  <c r="J30" i="3"/>
  <c r="J17" i="3"/>
  <c r="J38" i="3"/>
  <c r="J32" i="3"/>
  <c r="J73" i="3"/>
  <c r="J89" i="3"/>
  <c r="J18" i="3"/>
  <c r="J35" i="3"/>
  <c r="J45" i="3"/>
  <c r="J65" i="3"/>
  <c r="J77" i="3"/>
  <c r="J75" i="3"/>
  <c r="J9" i="3"/>
  <c r="J140" i="3"/>
  <c r="G10" i="1"/>
  <c r="P18" i="1"/>
  <c r="J161" i="3" l="1"/>
  <c r="L26" i="5"/>
  <c r="M25" i="5"/>
  <c r="N25" i="5" s="1"/>
  <c r="L9" i="1"/>
  <c r="E49" i="1"/>
  <c r="E45" i="1"/>
  <c r="I45" i="1" s="1"/>
  <c r="H18" i="1"/>
  <c r="S14" i="1" s="1"/>
  <c r="R14" i="1" s="1"/>
  <c r="J18" i="1"/>
  <c r="Q21" i="1" s="1"/>
  <c r="L16" i="1"/>
  <c r="J10" i="1"/>
  <c r="Q14" i="1"/>
  <c r="Q16" i="1"/>
  <c r="R16" i="1" s="1"/>
  <c r="I14" i="1"/>
  <c r="C24" i="1"/>
  <c r="E26" i="1" s="1"/>
  <c r="E33" i="1"/>
  <c r="G33" i="1" s="1"/>
  <c r="E37" i="1"/>
  <c r="E63" i="1"/>
  <c r="D26" i="1"/>
  <c r="E58" i="1"/>
  <c r="E30" i="1"/>
  <c r="L66" i="1"/>
  <c r="L68" i="1" s="1"/>
  <c r="L15" i="1"/>
  <c r="R21" i="2"/>
  <c r="R22" i="2" s="1"/>
  <c r="Q21" i="2"/>
  <c r="Q22" i="2" s="1"/>
  <c r="P21" i="2"/>
  <c r="P22" i="2" s="1"/>
  <c r="O21" i="2"/>
  <c r="O22" i="2" s="1"/>
  <c r="N21" i="2"/>
  <c r="N22" i="2" s="1"/>
  <c r="M21" i="2"/>
  <c r="M22" i="2" s="1"/>
  <c r="L21" i="2"/>
  <c r="L22" i="2" s="1"/>
  <c r="K21" i="2"/>
  <c r="K22" i="2" s="1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R11" i="2"/>
  <c r="R12" i="2" s="1"/>
  <c r="Q11" i="2"/>
  <c r="Q12" i="2" s="1"/>
  <c r="P11" i="2"/>
  <c r="P12" i="2" s="1"/>
  <c r="O11" i="2"/>
  <c r="O12" i="2" s="1"/>
  <c r="N11" i="2"/>
  <c r="N12" i="2" s="1"/>
  <c r="M11" i="2"/>
  <c r="M12" i="2" s="1"/>
  <c r="L11" i="2"/>
  <c r="L12" i="2" s="1"/>
  <c r="K11" i="2"/>
  <c r="K12" i="2" s="1"/>
  <c r="J11" i="2"/>
  <c r="J12" i="2" s="1"/>
  <c r="I11" i="2"/>
  <c r="I12" i="2" s="1"/>
  <c r="H11" i="2"/>
  <c r="H12" i="2" s="1"/>
  <c r="G11" i="2"/>
  <c r="G12" i="2" s="1"/>
  <c r="F11" i="2"/>
  <c r="F12" i="2" s="1"/>
  <c r="E11" i="2"/>
  <c r="E12" i="2" s="1"/>
  <c r="D11" i="2"/>
  <c r="D12" i="2" s="1"/>
  <c r="R25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R26" i="2"/>
  <c r="R31" i="2" s="1"/>
  <c r="R32" i="2" s="1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Q25" i="2"/>
  <c r="P25" i="2"/>
  <c r="O25" i="2"/>
  <c r="N25" i="2"/>
  <c r="M25" i="2"/>
  <c r="L25" i="2"/>
  <c r="K25" i="2"/>
  <c r="K31" i="2" s="1"/>
  <c r="K32" i="2" s="1"/>
  <c r="J25" i="2"/>
  <c r="I25" i="2"/>
  <c r="H25" i="2"/>
  <c r="H31" i="2" s="1"/>
  <c r="H32" i="2" s="1"/>
  <c r="G25" i="2"/>
  <c r="F25" i="2"/>
  <c r="E25" i="2"/>
  <c r="D25" i="2"/>
  <c r="L31" i="2" l="1"/>
  <c r="L32" i="2" s="1"/>
  <c r="E31" i="2"/>
  <c r="E32" i="2" s="1"/>
  <c r="M31" i="2"/>
  <c r="M32" i="2" s="1"/>
  <c r="D31" i="2"/>
  <c r="D32" i="2" s="1"/>
  <c r="F31" i="2"/>
  <c r="F32" i="2" s="1"/>
  <c r="N31" i="2"/>
  <c r="N32" i="2" s="1"/>
  <c r="G31" i="2"/>
  <c r="G32" i="2" s="1"/>
  <c r="O31" i="2"/>
  <c r="O32" i="2" s="1"/>
  <c r="P31" i="2"/>
  <c r="P32" i="2" s="1"/>
  <c r="I31" i="2"/>
  <c r="I32" i="2" s="1"/>
  <c r="Q31" i="2"/>
  <c r="Q32" i="2" s="1"/>
  <c r="J31" i="2"/>
  <c r="J32" i="2" s="1"/>
  <c r="L27" i="5"/>
  <c r="M26" i="5"/>
  <c r="N26" i="5" s="1"/>
  <c r="G24" i="1"/>
  <c r="L2" i="1" s="1"/>
  <c r="Q10" i="1" s="1"/>
  <c r="C25" i="1"/>
  <c r="P55" i="1"/>
  <c r="R55" i="1" s="1"/>
  <c r="H54" i="1"/>
  <c r="Q54" i="1" s="1"/>
  <c r="P46" i="1"/>
  <c r="R46" i="1" s="1"/>
  <c r="H49" i="1"/>
  <c r="P52" i="1"/>
  <c r="R52" i="1" s="1"/>
  <c r="P64" i="1"/>
  <c r="R64" i="1" s="1"/>
  <c r="H63" i="1"/>
  <c r="P59" i="1"/>
  <c r="R59" i="1" s="1"/>
  <c r="H58" i="1"/>
  <c r="Q58" i="1" s="1"/>
  <c r="Q51" i="1"/>
  <c r="P30" i="1"/>
  <c r="R30" i="1" s="1"/>
  <c r="Q45" i="1"/>
  <c r="Q63" i="1"/>
  <c r="P37" i="1"/>
  <c r="Q37" i="1" s="1"/>
  <c r="I33" i="1"/>
  <c r="P34" i="1" s="1"/>
  <c r="R34" i="1" s="1"/>
  <c r="G26" i="1" l="1"/>
  <c r="L28" i="5"/>
  <c r="M27" i="5"/>
  <c r="N27" i="5" s="1"/>
  <c r="L65" i="1"/>
  <c r="Q49" i="1"/>
  <c r="Q50" i="1"/>
  <c r="C18" i="1"/>
  <c r="F18" i="1" s="1"/>
  <c r="C20" i="1" s="1"/>
  <c r="L3" i="1"/>
  <c r="L5" i="1" s="1"/>
  <c r="Q9" i="1" s="1"/>
  <c r="Q24" i="1"/>
  <c r="I24" i="1"/>
  <c r="Q25" i="1" s="1"/>
  <c r="K25" i="1" s="1"/>
  <c r="Q26" i="1" s="1"/>
  <c r="P33" i="1"/>
  <c r="R33" i="1" s="1"/>
  <c r="K33" i="1"/>
  <c r="P35" i="1" s="1"/>
  <c r="R35" i="1" s="1"/>
  <c r="L29" i="5" l="1"/>
  <c r="M28" i="5"/>
  <c r="N28" i="5" s="1"/>
  <c r="L18" i="1"/>
  <c r="Q20" i="1" s="1"/>
  <c r="C19" i="1"/>
  <c r="K34" i="1"/>
  <c r="K35" i="1" s="1"/>
  <c r="Q18" i="1"/>
  <c r="K18" i="1"/>
  <c r="L19" i="1" s="1"/>
  <c r="F20" i="1"/>
  <c r="L30" i="5" l="1"/>
  <c r="M29" i="5"/>
  <c r="N29" i="5" s="1"/>
  <c r="Q19" i="1"/>
  <c r="F19" i="1"/>
  <c r="L31" i="5" l="1"/>
  <c r="M30" i="5"/>
  <c r="N30" i="5" s="1"/>
  <c r="L32" i="5" l="1"/>
  <c r="M31" i="5"/>
  <c r="N31" i="5" s="1"/>
  <c r="L33" i="5" l="1"/>
  <c r="M32" i="5"/>
  <c r="N32" i="5" s="1"/>
  <c r="L34" i="5" l="1"/>
  <c r="M33" i="5"/>
  <c r="N33" i="5" s="1"/>
  <c r="L35" i="5" l="1"/>
  <c r="M34" i="5"/>
  <c r="N34" i="5" s="1"/>
  <c r="L36" i="5" l="1"/>
  <c r="M35" i="5"/>
  <c r="N35" i="5" s="1"/>
  <c r="L37" i="5" l="1"/>
  <c r="M36" i="5"/>
  <c r="N36" i="5" s="1"/>
  <c r="L38" i="5" l="1"/>
  <c r="M37" i="5"/>
  <c r="N37" i="5" s="1"/>
  <c r="L39" i="5" l="1"/>
  <c r="M38" i="5"/>
  <c r="N38" i="5" s="1"/>
  <c r="L40" i="5" l="1"/>
  <c r="M39" i="5"/>
  <c r="N39" i="5" s="1"/>
  <c r="L41" i="5" l="1"/>
  <c r="M40" i="5"/>
  <c r="N40" i="5" s="1"/>
  <c r="L42" i="5" l="1"/>
  <c r="M41" i="5"/>
  <c r="N41" i="5" s="1"/>
  <c r="L43" i="5" l="1"/>
  <c r="M42" i="5"/>
  <c r="N42" i="5" s="1"/>
  <c r="L44" i="5" l="1"/>
  <c r="M43" i="5"/>
  <c r="N43" i="5" s="1"/>
  <c r="L45" i="5" l="1"/>
  <c r="M44" i="5"/>
  <c r="N44" i="5" s="1"/>
  <c r="L46" i="5" l="1"/>
  <c r="M45" i="5"/>
  <c r="N45" i="5" s="1"/>
  <c r="L47" i="5" l="1"/>
  <c r="M46" i="5"/>
  <c r="N46" i="5" s="1"/>
  <c r="L48" i="5" l="1"/>
  <c r="M47" i="5"/>
  <c r="N47" i="5" s="1"/>
  <c r="L49" i="5" l="1"/>
  <c r="M49" i="5" s="1"/>
  <c r="M48" i="5"/>
  <c r="N48" i="5" s="1"/>
  <c r="N50" i="5" l="1"/>
  <c r="N102" i="5" s="1"/>
  <c r="N49" i="5"/>
</calcChain>
</file>

<file path=xl/sharedStrings.xml><?xml version="1.0" encoding="utf-8"?>
<sst xmlns="http://schemas.openxmlformats.org/spreadsheetml/2006/main" count="1251" uniqueCount="433">
  <si>
    <t>Units</t>
  </si>
  <si>
    <t>Age 0</t>
  </si>
  <si>
    <t>Individuals</t>
  </si>
  <si>
    <t>Age 1</t>
  </si>
  <si>
    <t>Age 2</t>
  </si>
  <si>
    <t>Age 3</t>
  </si>
  <si>
    <t>Age 4</t>
  </si>
  <si>
    <t>Age 5</t>
  </si>
  <si>
    <t>Population</t>
  </si>
  <si>
    <t>REMI v.2.0.1 data</t>
  </si>
  <si>
    <t>White</t>
  </si>
  <si>
    <t>All Races</t>
  </si>
  <si>
    <t>Other than white</t>
  </si>
  <si>
    <t xml:space="preserve">Total </t>
  </si>
  <si>
    <t>% of births to low income mothers</t>
  </si>
  <si>
    <t>Number of mothers who will enter the workforce</t>
  </si>
  <si>
    <t>% of ECD children that will graduate from HS that would have otherwise dropped out</t>
  </si>
  <si>
    <t>% of mothers who will enter the workforce if child is in an ECD program</t>
  </si>
  <si>
    <t>Green is an input cell</t>
  </si>
  <si>
    <t>Yellow is an output cell</t>
  </si>
  <si>
    <t>Annual ECD program cost</t>
  </si>
  <si>
    <t>Number of children in ECD prgram not in poverty (annually)</t>
  </si>
  <si>
    <t>Number of female children in ECD prgram not a single mother (annually)</t>
  </si>
  <si>
    <t>Poverty Reductions</t>
  </si>
  <si>
    <t>Incarceration Reduction</t>
  </si>
  <si>
    <t>Single Births Reductions</t>
  </si>
  <si>
    <t>Better Health Outcomes</t>
  </si>
  <si>
    <t>Number of children in ECD prgram with better health outcomes (annually)</t>
  </si>
  <si>
    <t>Average annual state cost in health care</t>
  </si>
  <si>
    <t>Annual reducation in state healthcare costs</t>
  </si>
  <si>
    <t>Increase in innovation and entrepreneurial efforts</t>
  </si>
  <si>
    <t xml:space="preserve">Average annual state cost per inmate </t>
  </si>
  <si>
    <t>Estimates of the medium to long-term effects of improving human capital and reducing economic costs to society</t>
  </si>
  <si>
    <t>Improved HS, workforce skills, and higher education outcomes</t>
  </si>
  <si>
    <t>Increase in the workforce from mothers of children in ECD</t>
  </si>
  <si>
    <t>K12 Cost Reduction based on on-time graduation</t>
  </si>
  <si>
    <t>Number of grade years saved by graduating on-time</t>
  </si>
  <si>
    <t>Administrative Cost %</t>
  </si>
  <si>
    <t>Number of administrators</t>
  </si>
  <si>
    <t>Administrative compensation and other costs</t>
  </si>
  <si>
    <t xml:space="preserve">Administration compensation </t>
  </si>
  <si>
    <t>REMI inputs</t>
  </si>
  <si>
    <t>% administrative costs used for compensation</t>
  </si>
  <si>
    <t>Annual salaries and fringe costs for infants</t>
  </si>
  <si>
    <t>Total number children to be served in an ECD program</t>
  </si>
  <si>
    <t>Number of buildings to be rehabed and or upgraded</t>
  </si>
  <si>
    <t>Estimated cost per quare foot to upgrade or rehab</t>
  </si>
  <si>
    <t>Bond length years</t>
  </si>
  <si>
    <t>Bond interest rate</t>
  </si>
  <si>
    <t>Birth costs</t>
  </si>
  <si>
    <t>Average annual state cost in health and transfer programs for single mothers</t>
  </si>
  <si>
    <t>Program costs</t>
  </si>
  <si>
    <t>in 2016 dollars</t>
  </si>
  <si>
    <t># emp</t>
  </si>
  <si>
    <t>Ave annual wage improvement compared to dropping out of HS</t>
  </si>
  <si>
    <t>Forestry; Fishing, hunting, trapping  (1131, 1132, 114)</t>
  </si>
  <si>
    <t>Individuals (Jobs)</t>
  </si>
  <si>
    <t>Logging  (1133)</t>
  </si>
  <si>
    <t>Support activities for agriculture and forestry  (115)</t>
  </si>
  <si>
    <t>Oil and gas extraction  (211)</t>
  </si>
  <si>
    <t>Coal mining  (2121)</t>
  </si>
  <si>
    <t>Metal ore mining  (2122)</t>
  </si>
  <si>
    <t>Nonmetallic mineral mining and quarrying  (2123)</t>
  </si>
  <si>
    <t>Support activities for mining  (213)</t>
  </si>
  <si>
    <t>Electric power generation, transmission, and distribution  (2211)</t>
  </si>
  <si>
    <t>Natural gas distribution  (2212)</t>
  </si>
  <si>
    <t>Water, sewage, and other systems  (2213)</t>
  </si>
  <si>
    <t>Construction  (23)</t>
  </si>
  <si>
    <t>Sawmills and wood preservation  (3211)</t>
  </si>
  <si>
    <t>Veneer, plywood, and engineered wood product manufacturing  (3212)</t>
  </si>
  <si>
    <t>Other wood product manufacturing  (3219)</t>
  </si>
  <si>
    <t>Clay product and refractory manufacturing  (3271)</t>
  </si>
  <si>
    <t>Glass and glass product manufacturing  (3272)</t>
  </si>
  <si>
    <t>Cement and concrete product manufacturing  (3273)</t>
  </si>
  <si>
    <t>Lime, gypsum and other nonmetallic mineral product manufacturing  (3274, 3279)</t>
  </si>
  <si>
    <t>Iron and steel mills and ferroalloy manufacturing  (3311)</t>
  </si>
  <si>
    <t>Steel product manufacturing from purchased steel  (3312)</t>
  </si>
  <si>
    <t>Alumina and aluminum production and processing  (3313)</t>
  </si>
  <si>
    <t>Nonferrous metal (except aluminum) production and processing  (3314)</t>
  </si>
  <si>
    <t>Foundries  (3315)</t>
  </si>
  <si>
    <t>Forging and stamping  (3321)</t>
  </si>
  <si>
    <t>Cutlery and handtool manufacturing  (3322)</t>
  </si>
  <si>
    <t>Architectural and structural metals manufacturing  (3323)</t>
  </si>
  <si>
    <t>Boiler, tank, and shipping container manufacturing  (3324)</t>
  </si>
  <si>
    <t>Hardware manufacturing  (3325)</t>
  </si>
  <si>
    <t>Spring and wire product manufacturing  (3326)</t>
  </si>
  <si>
    <t>Machine shops; turned product; and screw, nut, and bolt manufacturing  (3327)</t>
  </si>
  <si>
    <t>Coating, engraving, heat treating, and allied activities  (3328)</t>
  </si>
  <si>
    <t>Other fabricated metal product manufacturing  (3329)</t>
  </si>
  <si>
    <t>Agriculture, construction, and mining machinery manufacturing  (3331)</t>
  </si>
  <si>
    <t>Industrial machinery manufacturing  (3332)</t>
  </si>
  <si>
    <t>Commercial and service industry machinery manufacturing, including digital camera manufacturing  (3333)</t>
  </si>
  <si>
    <t>Ventilation, heating, air-conditioning, and commercial refrigeration equipment manufacturing  (3334)</t>
  </si>
  <si>
    <t>Metalworking machinery manufacturing  (3335)</t>
  </si>
  <si>
    <t>Engine, turbine, power transmission equipment manufacturing  (3336)</t>
  </si>
  <si>
    <t>Other general purpose machinery manufacturing  (3339)</t>
  </si>
  <si>
    <t>Computer and peripheral equipment manufacturing, excluding digital camera manufacturing  (3341)</t>
  </si>
  <si>
    <t>Communications equipment manufacturing  (3342)</t>
  </si>
  <si>
    <t>Audio and video equipment manufacturing  (3343)</t>
  </si>
  <si>
    <t>Semiconductor and other electronic component manufacturing  (3344)</t>
  </si>
  <si>
    <t>Navigational, measuring, electromedical, and control instruments manufacturing  (3345)</t>
  </si>
  <si>
    <t>Manufacturing and reproducing magnetic and optical media  (3346)</t>
  </si>
  <si>
    <t>Electric lighting equipment manufacturing  (3351)</t>
  </si>
  <si>
    <t>Household appliance manufacturing  (3352)</t>
  </si>
  <si>
    <t>Electrical equipment manufacturing  (3353)</t>
  </si>
  <si>
    <t>Other electrical equipment and component manufacturing  (3359)</t>
  </si>
  <si>
    <t>Motor vehicle manufacturing  (3361)</t>
  </si>
  <si>
    <t>Motor vehicle body and trailer manufacturing  (3362)</t>
  </si>
  <si>
    <t>Motor vehicle parts manufacturing  (3363)</t>
  </si>
  <si>
    <t>Aerospace product and parts manufacturing  (3364)</t>
  </si>
  <si>
    <t>Railroad rolling stock manufacturing  (3365)</t>
  </si>
  <si>
    <t>Ship and boat building  (3366)</t>
  </si>
  <si>
    <t>Other transportation equipment manufacturing  (3369)</t>
  </si>
  <si>
    <t>Household and institutional furniture and kitchen cabinet manufacturing  (3371)</t>
  </si>
  <si>
    <t>Office furniture (including fixtures) manufacturing; Other furniture related product manufacturing  (3372, 3379)</t>
  </si>
  <si>
    <t>Medical equipment and supplies manufacturing  (3391)</t>
  </si>
  <si>
    <t>Other miscellaneous manufacturing  (3399)</t>
  </si>
  <si>
    <t>Animal food manufacturing  (3111)</t>
  </si>
  <si>
    <t>Grain and oilseed milling  (3112)</t>
  </si>
  <si>
    <t>Sugar and confectionery product manufacturing  (3113)</t>
  </si>
  <si>
    <t>Fruit and vegetable preserving and specialty food manufacturing  (3114)</t>
  </si>
  <si>
    <t>Dairy product manufacturing  (3115)</t>
  </si>
  <si>
    <t>Animal slaughtering and processing  (3116)</t>
  </si>
  <si>
    <t>Seafood product preparation and packaging  (3117)</t>
  </si>
  <si>
    <t>Bakeries and tortilla manufacturing  (3118)</t>
  </si>
  <si>
    <t>Other food manufacturing  (3119)</t>
  </si>
  <si>
    <t>Beverage manufacturing  (3121)</t>
  </si>
  <si>
    <t>Tobacco manufacturing  (3122)</t>
  </si>
  <si>
    <t>Textile mills and textile product mills  (313, 314)</t>
  </si>
  <si>
    <t>Apparel, leather and allied product manufacturing  (315, 316)</t>
  </si>
  <si>
    <t>Pulp, paper, and paperboard mills  (3221)</t>
  </si>
  <si>
    <t>Converted paper product manufacturing  (3222)</t>
  </si>
  <si>
    <t>Printing and related support activities  (323)</t>
  </si>
  <si>
    <t>Petroleum and coal products manufacturing  (324)</t>
  </si>
  <si>
    <t>Basic chemical manufacturing  (3251)</t>
  </si>
  <si>
    <t>Resin, synthetic rubber, and artificial synthetic fibers and filaments manufacturing  (3252)</t>
  </si>
  <si>
    <t>Pesticide, fertilizer, and other agricultural chemical manufacturing  (3253)</t>
  </si>
  <si>
    <t>Pharmaceutical and medicine manufacturing  (3254)</t>
  </si>
  <si>
    <t>Paint, coating, and adhesive manufacturing  (3255)</t>
  </si>
  <si>
    <t>Soap, cleaning compound, and toilet preparation manufacturing  (3256)</t>
  </si>
  <si>
    <t>Other chemical product and preparation manufacturing  (3259)</t>
  </si>
  <si>
    <t>Plastics product manufacturing  (3261)</t>
  </si>
  <si>
    <t>Rubber product manufacturing  (3262)</t>
  </si>
  <si>
    <t>Wholesale trade  (42)</t>
  </si>
  <si>
    <t>Retail trade  (44-45)</t>
  </si>
  <si>
    <t>Air transportation  (481)</t>
  </si>
  <si>
    <t>Rail transportation  (482)</t>
  </si>
  <si>
    <t>Water transportation  (483)</t>
  </si>
  <si>
    <t>Truck transportation  (484 )</t>
  </si>
  <si>
    <t>Couriers and messengers  (492)</t>
  </si>
  <si>
    <t>Transit and ground passenger transportation  (485)</t>
  </si>
  <si>
    <t>Pipeline transportation  (486)</t>
  </si>
  <si>
    <t>Scenic and sightseeing transportation and support activities for transportation  (487, 488)</t>
  </si>
  <si>
    <t>Warehousing and storage  (493)</t>
  </si>
  <si>
    <t>Newspaper, periodical, book, and directory publishers  (5111)</t>
  </si>
  <si>
    <t>Software publishers  (5112)</t>
  </si>
  <si>
    <t>Motion picture, video, and sound recording industries  (512)</t>
  </si>
  <si>
    <t>Data processing, hosting, related services, and other information services  (518, 519)</t>
  </si>
  <si>
    <t>Broadcasting (except internet)  (515)</t>
  </si>
  <si>
    <t>Telecommunications  (517)</t>
  </si>
  <si>
    <t>Monetary authorities, credit intermediation, and related activities  (521, 522)</t>
  </si>
  <si>
    <t>Funds, trusts, and other financial vehicles  (525)</t>
  </si>
  <si>
    <t>Securities, commodity contracts, and other financial investments and related activities  (523)</t>
  </si>
  <si>
    <t>Insurance carriers  (5241)</t>
  </si>
  <si>
    <t>Agencies, brokerages, and other insurance related activities  (5242)</t>
  </si>
  <si>
    <t>Real estate  (531)</t>
  </si>
  <si>
    <t>Automotive equipment rental and leasing  (5321)</t>
  </si>
  <si>
    <t>Consumer goods rental and general rental centers  (5322, 5323)</t>
  </si>
  <si>
    <t>Commercial and industrial machinery and equipment rental and leasing  (5324)</t>
  </si>
  <si>
    <t>Lessors of nonfinancial intangible assets (except copyrighted works)  (533)</t>
  </si>
  <si>
    <t>Legal services  (5411)</t>
  </si>
  <si>
    <t>Accounting, tax preparation, bookkeeping, and payroll services  (5412)</t>
  </si>
  <si>
    <t>Architectural, engineering, and related services  (5413)</t>
  </si>
  <si>
    <t>Specialized design services  (5414)</t>
  </si>
  <si>
    <t>Computer systems design and related services  (5415)</t>
  </si>
  <si>
    <t>Management, scientific, and technical consulting services  (5416)</t>
  </si>
  <si>
    <t>Scientific research and development services  (5417)</t>
  </si>
  <si>
    <t>Advertising, public relations, and related services  (5418)</t>
  </si>
  <si>
    <t>Other professional, scientific, and technical services  (5419)</t>
  </si>
  <si>
    <t>Management of companies and enterprises  (55)</t>
  </si>
  <si>
    <t>Office administrative services; Facilities support services  (5611, 5612)</t>
  </si>
  <si>
    <t>Employment services  (5613)</t>
  </si>
  <si>
    <t>Business support services; Investigation and security services; Other support services  (5614, 5616, 5619)</t>
  </si>
  <si>
    <t>Travel arrangement and reservation services  (5615)</t>
  </si>
  <si>
    <t>Services to buildings and dwellings  (5617)</t>
  </si>
  <si>
    <t>Waste management and remediation services  (562)</t>
  </si>
  <si>
    <t>Educational services; private  (61)</t>
  </si>
  <si>
    <t>Offices of health practitioners  (6211-6213)</t>
  </si>
  <si>
    <t>Outpatient, laboratory, and other ambulatory care services  (6214, 6215, 6219 )</t>
  </si>
  <si>
    <t>Home health care services  (6216)</t>
  </si>
  <si>
    <t>Hospitals; private  (622)</t>
  </si>
  <si>
    <t>Nursing and residential care facilities  (623)</t>
  </si>
  <si>
    <t>Individual and family services; Community and vocational rehabilitation services  (6241-6243)</t>
  </si>
  <si>
    <t>Child day care services  (6244)</t>
  </si>
  <si>
    <t>Performing arts companies; Promoters of events, and agents and managers  (7111, 7113, 7114)</t>
  </si>
  <si>
    <t>Spectator sports  (7112)</t>
  </si>
  <si>
    <t>Independent artists, writers, and performers  (7115)</t>
  </si>
  <si>
    <t>Museums, historical sites, and similar institutions  (712)</t>
  </si>
  <si>
    <t>Amusement, gambling, and recreation industries  (713)</t>
  </si>
  <si>
    <t>Accommodation  (721)</t>
  </si>
  <si>
    <t>Food services and drinking places  (722)</t>
  </si>
  <si>
    <t>Automotive repair and maintenance  (8111)</t>
  </si>
  <si>
    <t>Electronic and precision equipment repair and maintenance  (8112)</t>
  </si>
  <si>
    <t>Commercial and industrial machinery and equipment (except automotive and electronic) repair and maintenance  (8113)</t>
  </si>
  <si>
    <t>Personal and household goods repair and maintenance  (8114)</t>
  </si>
  <si>
    <t>Personal care services  (8121)</t>
  </si>
  <si>
    <t>Death care services  (8122)</t>
  </si>
  <si>
    <t>Drycleaning and laundry services  (8123)</t>
  </si>
  <si>
    <t>Other personal services  (8129)</t>
  </si>
  <si>
    <t>Religious organizations; Grantmaking and giving services, and social advocacy organizations  (8131-8133)</t>
  </si>
  <si>
    <t>Civic, social, professional, and similar organizations  (8134, 8139)</t>
  </si>
  <si>
    <t>Private households  (814)</t>
  </si>
  <si>
    <t>REMI v2.0.3</t>
  </si>
  <si>
    <t>Millions of Current Dollars</t>
  </si>
  <si>
    <t>Employment by sector</t>
  </si>
  <si>
    <t>Compensation by sector</t>
  </si>
  <si>
    <t>Ave Comp</t>
  </si>
  <si>
    <t>% of all comp</t>
  </si>
  <si>
    <t>Total Comp</t>
  </si>
  <si>
    <t>Mississippi</t>
  </si>
  <si>
    <t>Thousands of Current Dollars</t>
  </si>
  <si>
    <t>Average annual compensation rate</t>
  </si>
  <si>
    <t>x</t>
  </si>
  <si>
    <t>Cost of materials/tutition for ECD training</t>
  </si>
  <si>
    <t>Training materials and tutition for each teacher</t>
  </si>
  <si>
    <t>Admin, Training and facilities rehab efforts begin in 2018</t>
  </si>
  <si>
    <t>% of children in ECD program graduating HS on-time that would not have otherwise</t>
  </si>
  <si>
    <t>Total annual direct state savings from effects of ECD pgm</t>
  </si>
  <si>
    <t xml:space="preserve">Blue cell contain information </t>
  </si>
  <si>
    <t>Note: estimates below are for direct state cost reductions. Estimated improvements to the economy via higher human captial are captured above in improve WF.</t>
  </si>
  <si>
    <t>Total compensation adm and teachers (salaries and fringe, etc)</t>
  </si>
  <si>
    <t>Number of indoor square feet for administration</t>
  </si>
  <si>
    <t>Total cost of one time rehab/ construction of ECD facilities</t>
  </si>
  <si>
    <t>Number of months that teachers will be paid to improve ECD skills</t>
  </si>
  <si>
    <t>Teacher comp.</t>
  </si>
  <si>
    <t>Administration supplies, etc.</t>
  </si>
  <si>
    <t>Teaching # sqft</t>
  </si>
  <si>
    <t>Adm # sqft</t>
  </si>
  <si>
    <t>Number of teacher</t>
  </si>
  <si>
    <t>Average annual compensation of teachers</t>
  </si>
  <si>
    <t>Teachers compensation for 1st year (2018) in ECD training</t>
  </si>
  <si>
    <t>Average annual state cost per student (2016)</t>
  </si>
  <si>
    <t>2013 was $8455</t>
  </si>
  <si>
    <t>2nd year and forward annual progam costs</t>
  </si>
  <si>
    <t>Equivalent jobs</t>
  </si>
  <si>
    <t>compensation employee equivalent</t>
  </si>
  <si>
    <t>Average number of children per ECD facility</t>
  </si>
  <si>
    <t>Cost per building</t>
  </si>
  <si>
    <t>Begin impact in the year 2037 (from 2019) for entering WF, then 2 yrs, then 4 years. Model as an increase in consumption</t>
  </si>
  <si>
    <t>Verification of total ECD costs</t>
  </si>
  <si>
    <t>ECD program activities begin in 2019</t>
  </si>
  <si>
    <t>1st year pgm costs include training &amp; rehab/construction</t>
  </si>
  <si>
    <t>Number of children in ECD program graduating HS on-time (annually)</t>
  </si>
  <si>
    <t>Annual compensation of an administrator</t>
  </si>
  <si>
    <t>Annual bond pmt</t>
  </si>
  <si>
    <t>Number of ECD children annually that graduated from HS and completed college</t>
  </si>
  <si>
    <t>Number of ECD children annually that graduated from HS and completed WF training</t>
  </si>
  <si>
    <t>Number of ECD children annually that graduated from HS and entered workforce</t>
  </si>
  <si>
    <r>
      <t xml:space="preserve">Number of ECD children that will graduate </t>
    </r>
    <r>
      <rPr>
        <b/>
        <u/>
        <sz val="10"/>
        <color theme="1"/>
        <rFont val="Arial"/>
        <family val="2"/>
      </rPr>
      <t>annually</t>
    </r>
    <r>
      <rPr>
        <sz val="10"/>
        <color theme="1"/>
        <rFont val="Arial"/>
        <family val="2"/>
      </rPr>
      <t xml:space="preserve"> from HS that would have </t>
    </r>
    <r>
      <rPr>
        <b/>
        <u/>
        <sz val="10"/>
        <color theme="1"/>
        <rFont val="Arial"/>
        <family val="2"/>
      </rPr>
      <t>otherwise dropped out</t>
    </r>
  </si>
  <si>
    <t>% of children in ECD program not incarcerated begin at 15 years of age (in 2034)</t>
  </si>
  <si>
    <t>Number of children in WF that would not be w/o ECD</t>
  </si>
  <si>
    <t>Percent in WF of children that graduated HS</t>
  </si>
  <si>
    <t>Grad HS</t>
  </si>
  <si>
    <t>K</t>
  </si>
  <si>
    <t>infant</t>
  </si>
  <si>
    <t>toddler</t>
  </si>
  <si>
    <t>into WF</t>
  </si>
  <si>
    <t>% of ECD children that will graduate annually from HS and enter workforce in 2037</t>
  </si>
  <si>
    <t>% of ECD children that will graduate annually from HS and complete WF training in 2039</t>
  </si>
  <si>
    <t>% of ECD children that will graduate annually from HS and complete college in 2041</t>
  </si>
  <si>
    <t>% of children in ECD program starting own business in 2047 (10 years after HS)</t>
  </si>
  <si>
    <t>Number of children in ECD program starting own business annually (10 years after HS) in 2047</t>
  </si>
  <si>
    <t>Begin the impact of entreprenuers 10 years after completing HS ( in 2047) in order for them to complete education and gain some work experiences</t>
  </si>
  <si>
    <t>% of children in ECD program not in poverty as adults later in life (in 2037)</t>
  </si>
  <si>
    <t>% of female children in ECD program not a single mother later in life (11 years -in 2030)</t>
  </si>
  <si>
    <t>% of children in ECD program with better health outcomes (10 years -in 2029)</t>
  </si>
  <si>
    <t>Annual savings in K12 costs (begin at 9th grade in 2033)</t>
  </si>
  <si>
    <t>12 month per child ECD program cost</t>
  </si>
  <si>
    <t>Estimates of effects of one time rennovate/construction costs for ECD facilities</t>
  </si>
  <si>
    <t>Average number of indoor square feet per child</t>
  </si>
  <si>
    <t xml:space="preserve">2nd year and forward annual progam cost </t>
  </si>
  <si>
    <t>Estimates of direct economic effects, i.e. from the ECD program itself, staffing, training, rehab/construction, consumption.</t>
  </si>
  <si>
    <t>Number of children in ECD progam not incarcerated (annually)</t>
  </si>
  <si>
    <t>Annual reducation in state poverty costs</t>
  </si>
  <si>
    <t>Annual reducation in state incarceration costs</t>
  </si>
  <si>
    <t>Annual reducation in state  single mother births costs</t>
  </si>
  <si>
    <t>Average annual state cost in special transfer programs (TANF, SNAP, etc)</t>
  </si>
  <si>
    <t>Ave annual wage % improvement from part-time or not working</t>
  </si>
  <si>
    <t># firms</t>
  </si>
  <si>
    <t># employees</t>
  </si>
  <si>
    <t xml:space="preserve">                                                                                                                                         </t>
  </si>
  <si>
    <t>Increase in Federal Gov't spending in state begin in 2019</t>
  </si>
  <si>
    <t>Increase in Federal Child Care and Development Block Grant funds annually</t>
  </si>
  <si>
    <t>pre-k</t>
  </si>
  <si>
    <t>Estimated increase in annual compensation over a person incarcerated</t>
  </si>
  <si>
    <t xml:space="preserve">2nd year and forward annual Federal Child grants </t>
  </si>
  <si>
    <t>2nd year and forward annual net cost to State</t>
  </si>
  <si>
    <t>REMI Model amount for 2016 is $28110</t>
  </si>
  <si>
    <t>PV3: Add infant teachers jobs</t>
  </si>
  <si>
    <t xml:space="preserve">PV3: Add 1 to 4 Y.O. teachers jobs </t>
  </si>
  <si>
    <t>PV5: Add adm jobs begin 2019 (mgt of companies)</t>
  </si>
  <si>
    <t>PV6: Add supplies, matrial etc consumption (2019)</t>
  </si>
  <si>
    <t>PV7: Add training costs for first year (2018)</t>
  </si>
  <si>
    <t xml:space="preserve">PV8: Add construction costs as consumption(2018) </t>
  </si>
  <si>
    <t>PV9: Bond annual payments (P &amp; I)</t>
  </si>
  <si>
    <t>PV10: Reduce government spending for bond pmts</t>
  </si>
  <si>
    <t>PV11: Add mothers increase in income</t>
  </si>
  <si>
    <t>PV12: Into WF in 2037</t>
  </si>
  <si>
    <t>PV14: into WF in 2041</t>
  </si>
  <si>
    <t>PV13: into WF in 2039</t>
  </si>
  <si>
    <t>PV15: Start new companies each 3 employees</t>
  </si>
  <si>
    <t xml:space="preserve">PV16: federal civilian gov't spending </t>
  </si>
  <si>
    <t>PV18: Increase annual wage improvement grad ontime</t>
  </si>
  <si>
    <t>PV20: Reduce prison population in 2034</t>
  </si>
  <si>
    <t>PV21: Increase annual wage improvement for not in prison</t>
  </si>
  <si>
    <t>PV22: Reduce government spending for poverty reduction</t>
  </si>
  <si>
    <t>PV23: Increase annual wage improvement over poverty level</t>
  </si>
  <si>
    <t>PV26: Reduce government spending for better health outcomes (2029)</t>
  </si>
  <si>
    <t>% Productivity improvements in the overall workforce begin in 2037</t>
  </si>
  <si>
    <t>PV27: Increase annual wage improvement over D.O. (2037)</t>
  </si>
  <si>
    <t>PV28: Increase % worker productivity begin 2037</t>
  </si>
  <si>
    <t>PV2: Subtract proposed teacher compensation difference from that based on model average compensation for teachers</t>
  </si>
  <si>
    <t>1st year equivalent # teachers</t>
  </si>
  <si>
    <t>1st year compensation adjust</t>
  </si>
  <si>
    <t>2nd year and on teacher compensation adjustment</t>
  </si>
  <si>
    <t>Year</t>
  </si>
  <si>
    <t>Teacher training</t>
  </si>
  <si>
    <t>PV4: Subtract Adm comp diff in model (2016) $91680</t>
  </si>
  <si>
    <t>Average number of babies born annually, 5 yr average MSDH</t>
  </si>
  <si>
    <t>Estimates of the number of children to be served and cost per child.</t>
  </si>
  <si>
    <t>Estimates for an early childhood development program in Mississippi</t>
  </si>
  <si>
    <t>PV1: 1 Remove from State spending on going program costs</t>
  </si>
  <si>
    <t>PV1: 1 Remove from State spending first year costs</t>
  </si>
  <si>
    <t>Estimated portion of K12 funding at local level by state funds</t>
  </si>
  <si>
    <t>Estimated portion of incarceration funding by state funds</t>
  </si>
  <si>
    <t>Estimated portion of single mother births funding by state funds</t>
  </si>
  <si>
    <t>Estimated portion of poverty costs funding by state funds</t>
  </si>
  <si>
    <t>Estimated portion of health programs funding by state funds</t>
  </si>
  <si>
    <t>Long term effects of second generation outcomes from ECD program</t>
  </si>
  <si>
    <t>PV19: Reduce government spending for incarceration (2034)</t>
  </si>
  <si>
    <t>PV17: Reduce government spending for k12 (begin 2033)</t>
  </si>
  <si>
    <t>PV25: Increase annual wage improvement not single mom (2036)</t>
  </si>
  <si>
    <t>% of Children in ECD program that would have been incarcerated annually but enter the workforce (begin in 2036)</t>
  </si>
  <si>
    <t>PV19a: Reduce spending in sector-waste mgt, remediation, etc</t>
  </si>
  <si>
    <t>Category</t>
  </si>
  <si>
    <t>Gross Domestic Product</t>
  </si>
  <si>
    <t>Total Employment</t>
  </si>
  <si>
    <t>Private Non-Farm Employment</t>
  </si>
  <si>
    <t>Personal Income</t>
  </si>
  <si>
    <t>Compensation</t>
  </si>
  <si>
    <t>Personal Consumption Expenditures</t>
  </si>
  <si>
    <t>Cost of ECD program</t>
  </si>
  <si>
    <t>Millions of Fixed (2015) Dollars</t>
  </si>
  <si>
    <t>Motor vehicles and parts</t>
  </si>
  <si>
    <t>Furnishings and durable household equipment</t>
  </si>
  <si>
    <t>Recreational goods and vehicles and other durable goods</t>
  </si>
  <si>
    <t>Food and beverages purchased for off-premises consumption</t>
  </si>
  <si>
    <t>Clothing and footwear</t>
  </si>
  <si>
    <t>Motor vehicle fuels, lubricants, and fluids</t>
  </si>
  <si>
    <t>Fuel oil and other fuels</t>
  </si>
  <si>
    <t>Other nondurable goods</t>
  </si>
  <si>
    <t>Housing</t>
  </si>
  <si>
    <t>Household utilities</t>
  </si>
  <si>
    <t>Transportation services</t>
  </si>
  <si>
    <t>Health care</t>
  </si>
  <si>
    <t>Recreation and other services</t>
  </si>
  <si>
    <t>% of items consumed to be taxed</t>
  </si>
  <si>
    <t>State Sales Taxes on Consumption (at 6.22%)</t>
  </si>
  <si>
    <t>Personal Consumption with reduce Gov't spending</t>
  </si>
  <si>
    <t>Personal Consumption with increasing taxes</t>
  </si>
  <si>
    <t>Economic Impact with Reduce Gov't spending</t>
  </si>
  <si>
    <t>Economic Impact with Increase taxes</t>
  </si>
  <si>
    <t>per month</t>
  </si>
  <si>
    <t>Each Bldg sqft</t>
  </si>
  <si>
    <t>One time bond issue for rehab/construction of ECD facilities</t>
  </si>
  <si>
    <t>PV24: Reduce government spending for single mother births(2030)</t>
  </si>
  <si>
    <t>Increase in Gross Domestic Product</t>
  </si>
  <si>
    <t>Increase in Total Employment (gov't and non-farm)</t>
  </si>
  <si>
    <t>Increase in Private Non-Farm Employment</t>
  </si>
  <si>
    <t>Increase in Personal Income</t>
  </si>
  <si>
    <t>Increase in Compensation</t>
  </si>
  <si>
    <t>Increase in Personal Consumption Expenditures</t>
  </si>
  <si>
    <t>Increase in State Sales Taxes on Consumption (at effective rate of 6.22%)</t>
  </si>
  <si>
    <t>PV1a: or increase state taxes for 1 yr and ongoings costs</t>
  </si>
  <si>
    <t>PV16: federal civilian gov't spending increase (begin in 2019)</t>
  </si>
  <si>
    <t>REMI Model compensation amount for 2016 is $28110</t>
  </si>
  <si>
    <t>PV4: Subtract Adm compensation difference in model (2016) $91680</t>
  </si>
  <si>
    <t>PV27: Increase annual wage improvement over dropouts (2037)</t>
  </si>
  <si>
    <t>PV28: Increase % worker productivity (begin 2037)</t>
  </si>
  <si>
    <t>PV20: Reduce prison population (begin in 2034)</t>
  </si>
  <si>
    <t>Begin the impact of entreprenuers 10 years after completing HS ( begin in 2047) in order for them to complete education and gain some work experiences</t>
  </si>
  <si>
    <t>PV5: Add administration jobs begin 2019 (sector: mgt of companies)</t>
  </si>
  <si>
    <t>Table 1: REMI inputs; PV is a policy variable used in the model.</t>
  </si>
  <si>
    <t>into WF/higher ed</t>
  </si>
  <si>
    <t>Estimated Federal Share of ECD Program</t>
  </si>
  <si>
    <t>Estimated Total Cost of ECD program</t>
  </si>
  <si>
    <t>Table 2: ECD Program Cost Estimates</t>
  </si>
  <si>
    <t>Table 3: ECD Program Estimated Economic Impact with Reduce Government spending</t>
  </si>
  <si>
    <t>Table 4: ECD Program Estimated Economic Impact with Increased taxes</t>
  </si>
  <si>
    <t>Estimated Savings to State Agencies Budgets from Effects of ECD Program</t>
  </si>
  <si>
    <t>Net State Costs of ECD Program</t>
  </si>
  <si>
    <t>Total annual state agency savings</t>
  </si>
  <si>
    <t>K12 savings</t>
  </si>
  <si>
    <t>Corrections savings</t>
  </si>
  <si>
    <t>Poverty savings</t>
  </si>
  <si>
    <t>Single Mother birth savings</t>
  </si>
  <si>
    <t>Health savings</t>
  </si>
  <si>
    <t>Percent of 0 to 12 month old children to be served in an ECD program</t>
  </si>
  <si>
    <t>Percent of 13 to 3 month old children to be served in an ECD program</t>
  </si>
  <si>
    <t>Percent of 37 to 60 month old children to be served in an ECD program</t>
  </si>
  <si>
    <t>Number of 0 to 12 month old infants per teacher</t>
  </si>
  <si>
    <t>Number of teachers needed for infants (0to12)</t>
  </si>
  <si>
    <t>Number of toddlers (12 to 36 M.O.) per teacher</t>
  </si>
  <si>
    <t>Number of 37 to 60 M.O. students per teacher</t>
  </si>
  <si>
    <t>Number of teachers needed for 37 to 60 M.O.</t>
  </si>
  <si>
    <t>Annual salaries and fringe costs for 37 to 60 M.O.</t>
  </si>
  <si>
    <t>No. children served</t>
  </si>
  <si>
    <t xml:space="preserve">0-60 mo. Total </t>
  </si>
  <si>
    <t>Number of 37 to 60 months old from low income births that could be served</t>
  </si>
  <si>
    <t>Number of toddlers (13 to 36 months olds) from low income births that could be served</t>
  </si>
  <si>
    <t>Number infants of 0 to 12 months old from low income births that could be served</t>
  </si>
  <si>
    <t>Ongoing professional development, supplies, materials, operational cost, etc</t>
  </si>
  <si>
    <t>No. children/adm</t>
  </si>
  <si>
    <t>No. teachers/adm</t>
  </si>
  <si>
    <t>Number of teachers needed 13 to 36 M.O.</t>
  </si>
  <si>
    <t>Annual salaries and fringe costs for toddlers.</t>
  </si>
  <si>
    <t>C/B</t>
  </si>
  <si>
    <t>Discount factor</t>
  </si>
  <si>
    <t>PV cost</t>
  </si>
  <si>
    <t>Yearly cost</t>
  </si>
  <si>
    <t>Discount rate</t>
  </si>
  <si>
    <t>Yearly benefits</t>
  </si>
  <si>
    <t>PV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</si>
</sst>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??_);_(@_)"/>
    <numFmt numFmtId="166" formatCode="&quot;$&quot;#,##0"/>
    <numFmt numFmtId="167" formatCode="0.000000000%"/>
    <numFmt numFmtId="168" formatCode="0.000"/>
    <numFmt numFmtId="169" formatCode="_(* #,##0_);_(* \(#,##0\);_(* &quot;-&quot;??_);_(@_)"/>
    <numFmt numFmtId="170" formatCode="0.0%"/>
    <numFmt numFmtId="171" formatCode="&quot;$&quot;#,##0.0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lightGrid"/>
    </fill>
    <fill>
      <patternFill patternType="solid">
        <fgColor theme="8" tint="0.79998168889431442"/>
        <bgColor indexed="64"/>
      </patternFill>
    </fill>
    <fill>
      <patternFill patternType="lightDown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3" borderId="0" xfId="0" applyFont="1" applyFill="1"/>
    <xf numFmtId="0" fontId="2" fillId="0" borderId="0" xfId="0" applyFont="1" applyAlignment="1">
      <alignment vertical="center" wrapText="1"/>
    </xf>
    <xf numFmtId="1" fontId="0" fillId="0" borderId="0" xfId="2" applyNumberFormat="1" applyFont="1"/>
    <xf numFmtId="166" fontId="0" fillId="0" borderId="0" xfId="0" applyNumberFormat="1"/>
    <xf numFmtId="167" fontId="0" fillId="0" borderId="0" xfId="3" applyNumberFormat="1" applyFont="1"/>
    <xf numFmtId="166" fontId="0" fillId="0" borderId="0" xfId="2" applyNumberFormat="1" applyFont="1"/>
    <xf numFmtId="9" fontId="0" fillId="0" borderId="0" xfId="3" applyFont="1"/>
    <xf numFmtId="168" fontId="0" fillId="0" borderId="0" xfId="0" applyNumberFormat="1"/>
    <xf numFmtId="0" fontId="4" fillId="0" borderId="0" xfId="0" applyFont="1"/>
    <xf numFmtId="0" fontId="0" fillId="0" borderId="0" xfId="0" applyFont="1"/>
    <xf numFmtId="0" fontId="0" fillId="4" borderId="0" xfId="0" applyFont="1" applyFill="1"/>
    <xf numFmtId="0" fontId="0" fillId="2" borderId="0" xfId="0" applyFont="1" applyFill="1"/>
    <xf numFmtId="0" fontId="0" fillId="3" borderId="0" xfId="0" applyFont="1" applyFill="1"/>
    <xf numFmtId="0" fontId="3" fillId="5" borderId="0" xfId="0" applyFont="1" applyFill="1"/>
    <xf numFmtId="0" fontId="0" fillId="5" borderId="0" xfId="0" applyFont="1" applyFill="1"/>
    <xf numFmtId="0" fontId="0" fillId="0" borderId="0" xfId="0" applyFont="1" applyAlignment="1">
      <alignment wrapText="1"/>
    </xf>
    <xf numFmtId="0" fontId="0" fillId="3" borderId="1" xfId="0" applyFont="1" applyFill="1" applyBorder="1" applyAlignment="1">
      <alignment horizontal="center"/>
    </xf>
    <xf numFmtId="1" fontId="0" fillId="0" borderId="0" xfId="0" applyNumberFormat="1" applyFont="1"/>
    <xf numFmtId="1" fontId="0" fillId="2" borderId="1" xfId="0" applyNumberFormat="1" applyFont="1" applyFill="1" applyBorder="1"/>
    <xf numFmtId="165" fontId="0" fillId="2" borderId="1" xfId="0" applyNumberFormat="1" applyFont="1" applyFill="1" applyBorder="1"/>
    <xf numFmtId="166" fontId="0" fillId="2" borderId="1" xfId="0" applyNumberFormat="1" applyFont="1" applyFill="1" applyBorder="1"/>
    <xf numFmtId="6" fontId="0" fillId="0" borderId="0" xfId="0" applyNumberFormat="1" applyFont="1"/>
    <xf numFmtId="164" fontId="0" fillId="2" borderId="1" xfId="0" applyNumberFormat="1" applyFont="1" applyFill="1" applyBorder="1"/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166" fontId="0" fillId="0" borderId="0" xfId="0" applyNumberFormat="1" applyFont="1" applyAlignment="1">
      <alignment vertical="top"/>
    </xf>
    <xf numFmtId="166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vertical="center"/>
    </xf>
    <xf numFmtId="166" fontId="3" fillId="5" borderId="0" xfId="0" applyNumberFormat="1" applyFont="1" applyFill="1" applyAlignment="1">
      <alignment horizontal="left"/>
    </xf>
    <xf numFmtId="166" fontId="0" fillId="0" borderId="0" xfId="0" applyNumberFormat="1" applyFont="1"/>
    <xf numFmtId="0" fontId="0" fillId="5" borderId="2" xfId="0" applyFont="1" applyFill="1" applyBorder="1"/>
    <xf numFmtId="0" fontId="0" fillId="5" borderId="3" xfId="0" applyFill="1" applyBorder="1"/>
    <xf numFmtId="0" fontId="0" fillId="5" borderId="3" xfId="0" applyFont="1" applyFill="1" applyBorder="1"/>
    <xf numFmtId="166" fontId="0" fillId="5" borderId="4" xfId="0" applyNumberFormat="1" applyFont="1" applyFill="1" applyBorder="1"/>
    <xf numFmtId="0" fontId="2" fillId="5" borderId="0" xfId="0" applyFont="1" applyFill="1"/>
    <xf numFmtId="1" fontId="0" fillId="5" borderId="0" xfId="0" applyNumberFormat="1" applyFont="1" applyFill="1"/>
    <xf numFmtId="6" fontId="0" fillId="5" borderId="0" xfId="0" applyNumberFormat="1" applyFont="1" applyFill="1"/>
    <xf numFmtId="0" fontId="0" fillId="5" borderId="0" xfId="0" applyFill="1"/>
    <xf numFmtId="0" fontId="5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66" fontId="2" fillId="3" borderId="2" xfId="1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6" fontId="2" fillId="3" borderId="1" xfId="0" applyNumberFormat="1" applyFont="1" applyFill="1" applyBorder="1" applyAlignment="1">
      <alignment horizontal="center"/>
    </xf>
    <xf numFmtId="166" fontId="2" fillId="3" borderId="1" xfId="1" applyNumberFormat="1" applyFont="1" applyFill="1" applyBorder="1" applyAlignment="1">
      <alignment horizontal="center"/>
    </xf>
    <xf numFmtId="166" fontId="2" fillId="3" borderId="1" xfId="0" applyNumberFormat="1" applyFont="1" applyFill="1" applyBorder="1"/>
    <xf numFmtId="166" fontId="0" fillId="5" borderId="0" xfId="1" applyNumberFormat="1" applyFont="1" applyFill="1"/>
    <xf numFmtId="166" fontId="0" fillId="5" borderId="0" xfId="0" applyNumberFormat="1" applyFont="1" applyFill="1"/>
    <xf numFmtId="169" fontId="0" fillId="5" borderId="0" xfId="2" applyNumberFormat="1" applyFont="1" applyFill="1"/>
    <xf numFmtId="6" fontId="0" fillId="5" borderId="1" xfId="0" applyNumberFormat="1" applyFont="1" applyFill="1" applyBorder="1"/>
    <xf numFmtId="8" fontId="0" fillId="5" borderId="1" xfId="0" applyNumberFormat="1" applyFont="1" applyFill="1" applyBorder="1"/>
    <xf numFmtId="166" fontId="0" fillId="5" borderId="0" xfId="0" applyNumberFormat="1" applyFont="1" applyFill="1" applyAlignment="1">
      <alignment horizontal="right"/>
    </xf>
    <xf numFmtId="1" fontId="0" fillId="5" borderId="1" xfId="0" applyNumberFormat="1" applyFont="1" applyFill="1" applyBorder="1"/>
    <xf numFmtId="166" fontId="0" fillId="5" borderId="1" xfId="0" applyNumberFormat="1" applyFont="1" applyFill="1" applyBorder="1"/>
    <xf numFmtId="10" fontId="0" fillId="0" borderId="0" xfId="3" applyNumberFormat="1" applyFont="1"/>
    <xf numFmtId="1" fontId="0" fillId="0" borderId="0" xfId="0" applyNumberFormat="1"/>
    <xf numFmtId="0" fontId="0" fillId="0" borderId="0" xfId="0" applyAlignment="1">
      <alignment wrapText="1"/>
    </xf>
    <xf numFmtId="1" fontId="2" fillId="5" borderId="1" xfId="0" applyNumberFormat="1" applyFont="1" applyFill="1" applyBorder="1" applyAlignment="1">
      <alignment horizontal="center"/>
    </xf>
    <xf numFmtId="8" fontId="0" fillId="0" borderId="0" xfId="0" applyNumberFormat="1" applyFont="1"/>
    <xf numFmtId="164" fontId="2" fillId="5" borderId="1" xfId="1" applyNumberFormat="1" applyFont="1" applyFill="1" applyBorder="1"/>
    <xf numFmtId="170" fontId="0" fillId="5" borderId="0" xfId="3" applyNumberFormat="1" applyFont="1" applyFill="1"/>
    <xf numFmtId="0" fontId="0" fillId="0" borderId="0" xfId="0" applyAlignment="1">
      <alignment horizontal="right"/>
    </xf>
    <xf numFmtId="171" fontId="2" fillId="3" borderId="1" xfId="0" applyNumberFormat="1" applyFont="1" applyFill="1" applyBorder="1" applyAlignment="1">
      <alignment horizontal="center"/>
    </xf>
    <xf numFmtId="166" fontId="0" fillId="3" borderId="1" xfId="0" applyNumberFormat="1" applyFont="1" applyFill="1" applyBorder="1"/>
    <xf numFmtId="0" fontId="5" fillId="0" borderId="0" xfId="0" applyFont="1"/>
    <xf numFmtId="171" fontId="0" fillId="2" borderId="1" xfId="0" applyNumberFormat="1" applyFont="1" applyFill="1" applyBorder="1"/>
    <xf numFmtId="2" fontId="0" fillId="0" borderId="0" xfId="1" applyNumberFormat="1" applyFont="1"/>
    <xf numFmtId="0" fontId="2" fillId="0" borderId="0" xfId="0" applyFont="1"/>
    <xf numFmtId="0" fontId="0" fillId="6" borderId="0" xfId="0" applyFill="1"/>
    <xf numFmtId="8" fontId="0" fillId="5" borderId="0" xfId="0" applyNumberFormat="1" applyFont="1" applyFill="1"/>
    <xf numFmtId="0" fontId="0" fillId="5" borderId="0" xfId="0" applyFill="1" applyAlignment="1">
      <alignment horizontal="left"/>
    </xf>
    <xf numFmtId="14" fontId="0" fillId="0" borderId="0" xfId="0" applyNumberFormat="1" applyFont="1"/>
    <xf numFmtId="43" fontId="0" fillId="0" borderId="0" xfId="2" applyFont="1"/>
    <xf numFmtId="43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0" fillId="0" borderId="1" xfId="2" applyFont="1" applyBorder="1"/>
    <xf numFmtId="0" fontId="0" fillId="0" borderId="2" xfId="0" applyBorder="1"/>
    <xf numFmtId="0" fontId="0" fillId="0" borderId="4" xfId="0" applyBorder="1"/>
    <xf numFmtId="0" fontId="2" fillId="0" borderId="1" xfId="0" applyFont="1" applyBorder="1" applyAlignment="1">
      <alignment wrapText="1"/>
    </xf>
    <xf numFmtId="0" fontId="0" fillId="6" borderId="1" xfId="0" applyFill="1" applyBorder="1" applyAlignment="1">
      <alignment wrapText="1"/>
    </xf>
    <xf numFmtId="1" fontId="0" fillId="0" borderId="1" xfId="0" applyNumberFormat="1" applyBorder="1"/>
    <xf numFmtId="3" fontId="0" fillId="0" borderId="1" xfId="2" applyNumberFormat="1" applyFont="1" applyBorder="1"/>
    <xf numFmtId="4" fontId="0" fillId="0" borderId="1" xfId="2" applyNumberFormat="1" applyFont="1" applyBorder="1"/>
    <xf numFmtId="166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6" fontId="0" fillId="0" borderId="1" xfId="0" applyNumberFormat="1" applyBorder="1"/>
    <xf numFmtId="0" fontId="0" fillId="0" borderId="1" xfId="0" applyBorder="1" applyAlignment="1"/>
    <xf numFmtId="0" fontId="2" fillId="0" borderId="2" xfId="0" applyFont="1" applyBorder="1"/>
    <xf numFmtId="0" fontId="0" fillId="0" borderId="3" xfId="0" applyBorder="1"/>
    <xf numFmtId="2" fontId="0" fillId="0" borderId="1" xfId="2" applyNumberFormat="1" applyFont="1" applyBorder="1"/>
    <xf numFmtId="0" fontId="0" fillId="0" borderId="5" xfId="0" applyBorder="1"/>
    <xf numFmtId="171" fontId="0" fillId="0" borderId="0" xfId="0" applyNumberFormat="1"/>
    <xf numFmtId="2" fontId="0" fillId="0" borderId="0" xfId="0" applyNumberFormat="1"/>
    <xf numFmtId="0" fontId="0" fillId="0" borderId="0" xfId="0" applyBorder="1" applyAlignment="1">
      <alignment horizontal="center"/>
    </xf>
    <xf numFmtId="43" fontId="0" fillId="0" borderId="0" xfId="2" applyFont="1" applyBorder="1"/>
    <xf numFmtId="1" fontId="0" fillId="5" borderId="0" xfId="0" applyNumberFormat="1" applyFill="1" applyAlignment="1">
      <alignment horizontal="left"/>
    </xf>
    <xf numFmtId="1" fontId="0" fillId="5" borderId="0" xfId="0" applyNumberFormat="1" applyFont="1" applyFill="1" applyAlignment="1">
      <alignment horizontal="left"/>
    </xf>
    <xf numFmtId="2" fontId="0" fillId="0" borderId="0" xfId="0" applyNumberFormat="1" applyFont="1"/>
    <xf numFmtId="1" fontId="0" fillId="5" borderId="0" xfId="0" applyNumberFormat="1" applyFont="1" applyFill="1" applyAlignment="1">
      <alignment horizontal="left" vertical="center"/>
    </xf>
    <xf numFmtId="8" fontId="0" fillId="0" borderId="0" xfId="0" applyNumberFormat="1"/>
    <xf numFmtId="0" fontId="0" fillId="0" borderId="0" xfId="0" applyBorder="1"/>
    <xf numFmtId="0" fontId="0" fillId="0" borderId="0" xfId="0" applyFill="1" applyBorder="1" applyAlignment="1">
      <alignment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"/>
  <sheetViews>
    <sheetView tabSelected="1" zoomScale="80" zoomScaleNormal="80" workbookViewId="0">
      <selection activeCell="H16" sqref="H16"/>
    </sheetView>
  </sheetViews>
  <sheetFormatPr defaultRowHeight="12.75" x14ac:dyDescent="0.2"/>
  <cols>
    <col min="1" max="1" width="1.7109375" customWidth="1"/>
    <col min="2" max="2" width="17.140625" customWidth="1"/>
    <col min="3" max="3" width="17.7109375" customWidth="1"/>
    <col min="4" max="11" width="17.42578125" customWidth="1"/>
    <col min="12" max="12" width="19.140625" customWidth="1"/>
    <col min="13" max="13" width="2.140625" customWidth="1"/>
    <col min="14" max="14" width="2" customWidth="1"/>
    <col min="15" max="15" width="62.7109375" customWidth="1"/>
    <col min="16" max="16" width="8" customWidth="1"/>
    <col min="17" max="17" width="20.85546875" customWidth="1"/>
    <col min="18" max="18" width="16.140625" customWidth="1"/>
    <col min="19" max="19" width="9.85546875" customWidth="1"/>
    <col min="20" max="20" width="10.42578125" customWidth="1"/>
  </cols>
  <sheetData>
    <row r="1" spans="1:19" ht="15.75" x14ac:dyDescent="0.25">
      <c r="B1" s="64" t="s">
        <v>330</v>
      </c>
      <c r="N1" s="11"/>
    </row>
    <row r="2" spans="1:19" x14ac:dyDescent="0.2">
      <c r="B2" s="71">
        <v>42738</v>
      </c>
      <c r="C2" s="10"/>
      <c r="D2" s="10"/>
      <c r="E2" s="10"/>
      <c r="I2" s="31" t="s">
        <v>251</v>
      </c>
      <c r="J2" s="32"/>
      <c r="K2" s="32"/>
      <c r="L2" s="34">
        <f>(G24+H18+J18)</f>
        <v>93464757.845724344</v>
      </c>
      <c r="N2" s="11"/>
    </row>
    <row r="3" spans="1:19" x14ac:dyDescent="0.2">
      <c r="A3" s="9"/>
      <c r="B3" s="12" t="s">
        <v>19</v>
      </c>
      <c r="C3" s="12"/>
      <c r="D3" s="10" t="s">
        <v>225</v>
      </c>
      <c r="E3" s="10"/>
      <c r="F3" s="10"/>
      <c r="G3" s="10"/>
      <c r="H3" s="10"/>
      <c r="I3" s="31" t="s">
        <v>280</v>
      </c>
      <c r="J3" s="32"/>
      <c r="K3" s="33"/>
      <c r="L3" s="34">
        <f>L9</f>
        <v>150420075.98804998</v>
      </c>
      <c r="M3" s="10"/>
      <c r="N3" s="11"/>
      <c r="O3" s="10"/>
      <c r="P3" s="10"/>
      <c r="Q3" s="10"/>
      <c r="R3" s="10"/>
    </row>
    <row r="4" spans="1:19" x14ac:dyDescent="0.2">
      <c r="A4" s="9"/>
      <c r="B4" s="1" t="s">
        <v>18</v>
      </c>
      <c r="C4" s="13"/>
      <c r="D4" s="10" t="s">
        <v>250</v>
      </c>
      <c r="E4" s="10"/>
      <c r="F4" s="10"/>
      <c r="G4" s="10"/>
      <c r="H4" s="10"/>
      <c r="I4" s="31" t="s">
        <v>295</v>
      </c>
      <c r="J4" s="32"/>
      <c r="K4" s="33"/>
      <c r="L4" s="34">
        <f>D42</f>
        <v>35000000</v>
      </c>
      <c r="M4" s="10"/>
      <c r="N4" s="11"/>
      <c r="O4" s="10"/>
      <c r="P4" s="10"/>
      <c r="Q4" s="10"/>
      <c r="R4" s="10"/>
    </row>
    <row r="5" spans="1:19" x14ac:dyDescent="0.2">
      <c r="A5" s="9"/>
      <c r="B5" s="35" t="s">
        <v>228</v>
      </c>
      <c r="C5" s="15"/>
      <c r="D5" s="10"/>
      <c r="E5" s="10"/>
      <c r="F5" s="10"/>
      <c r="G5" s="10"/>
      <c r="H5" s="10"/>
      <c r="I5" s="31" t="s">
        <v>296</v>
      </c>
      <c r="J5" s="32"/>
      <c r="K5" s="33"/>
      <c r="L5" s="21">
        <f>L3-L4</f>
        <v>115420075.98804998</v>
      </c>
      <c r="M5" s="10"/>
      <c r="N5" s="11"/>
      <c r="O5" s="10"/>
      <c r="P5" s="10"/>
      <c r="Q5" s="10"/>
      <c r="R5" s="10"/>
    </row>
    <row r="6" spans="1:19" x14ac:dyDescent="0.2">
      <c r="A6" s="9"/>
      <c r="B6" s="10"/>
      <c r="C6" s="10"/>
      <c r="D6" s="10"/>
      <c r="E6" s="10"/>
      <c r="F6" s="10"/>
      <c r="G6" s="10"/>
      <c r="H6" s="10"/>
      <c r="M6" s="10"/>
      <c r="N6" s="11"/>
      <c r="O6" s="10"/>
      <c r="P6" s="10"/>
      <c r="Q6" s="10"/>
      <c r="R6" s="10"/>
    </row>
    <row r="7" spans="1:19" ht="15.75" x14ac:dyDescent="0.25">
      <c r="A7" s="9"/>
      <c r="B7" s="14" t="s">
        <v>329</v>
      </c>
      <c r="C7" s="38"/>
      <c r="D7" s="38"/>
      <c r="E7" s="38"/>
      <c r="I7" s="10"/>
      <c r="J7" s="10"/>
      <c r="K7" s="10"/>
      <c r="L7" s="10"/>
      <c r="M7" s="10"/>
      <c r="N7" s="11"/>
      <c r="O7" s="64" t="s">
        <v>41</v>
      </c>
      <c r="P7" s="10"/>
      <c r="Q7" s="10"/>
      <c r="R7" s="10"/>
    </row>
    <row r="8" spans="1:19" ht="65.25" customHeight="1" x14ac:dyDescent="0.2">
      <c r="A8" s="9"/>
      <c r="B8" s="16" t="s">
        <v>328</v>
      </c>
      <c r="C8" s="16" t="s">
        <v>14</v>
      </c>
      <c r="D8" s="16" t="s">
        <v>420</v>
      </c>
      <c r="E8" s="16" t="s">
        <v>419</v>
      </c>
      <c r="F8" s="16" t="s">
        <v>418</v>
      </c>
      <c r="G8" s="16" t="s">
        <v>407</v>
      </c>
      <c r="H8" s="16" t="s">
        <v>408</v>
      </c>
      <c r="I8" s="16" t="s">
        <v>409</v>
      </c>
      <c r="J8" s="16" t="s">
        <v>44</v>
      </c>
      <c r="K8" s="16" t="s">
        <v>277</v>
      </c>
      <c r="L8" s="39" t="s">
        <v>20</v>
      </c>
      <c r="N8" s="11"/>
      <c r="O8" s="10"/>
      <c r="P8" s="10"/>
      <c r="Q8" s="10"/>
      <c r="R8" s="10"/>
    </row>
    <row r="9" spans="1:19" x14ac:dyDescent="0.2">
      <c r="A9" s="9"/>
      <c r="B9" s="42">
        <v>38837</v>
      </c>
      <c r="C9" s="40">
        <v>61</v>
      </c>
      <c r="D9" s="52">
        <f>B9*C9/100</f>
        <v>23690.57</v>
      </c>
      <c r="E9" s="52">
        <f>B9*C9/100*2</f>
        <v>47381.14</v>
      </c>
      <c r="F9" s="52">
        <f>B9*C9/100*2</f>
        <v>47381.14</v>
      </c>
      <c r="G9" s="40">
        <v>33.33</v>
      </c>
      <c r="H9" s="40">
        <v>33.33</v>
      </c>
      <c r="I9" s="40">
        <v>0</v>
      </c>
      <c r="J9" s="19">
        <f>(D9*G9/100)+(E9*H9/100)+(F9*I9/100)</f>
        <v>23688.200942999996</v>
      </c>
      <c r="K9" s="41">
        <v>6350</v>
      </c>
      <c r="L9" s="59">
        <f>J9*K9</f>
        <v>150420075.98804998</v>
      </c>
      <c r="N9" s="11"/>
      <c r="O9" s="10" t="s">
        <v>331</v>
      </c>
      <c r="P9" s="10"/>
      <c r="Q9" s="30">
        <f>L5</f>
        <v>115420075.98804998</v>
      </c>
      <c r="R9" s="10"/>
    </row>
    <row r="10" spans="1:19" x14ac:dyDescent="0.2">
      <c r="A10" s="9"/>
      <c r="B10" s="15" t="s">
        <v>417</v>
      </c>
      <c r="C10" s="100">
        <f>B9*C9/100*5</f>
        <v>118452.85</v>
      </c>
      <c r="D10" s="101">
        <f>D9+E9+F9</f>
        <v>118452.84999999999</v>
      </c>
      <c r="E10" s="10"/>
      <c r="F10" s="38" t="s">
        <v>416</v>
      </c>
      <c r="G10" s="36">
        <f>D9*G9/100</f>
        <v>7896.066980999999</v>
      </c>
      <c r="H10" s="36">
        <f>E9*H9/100</f>
        <v>15792.133961999998</v>
      </c>
      <c r="I10" s="36">
        <f>F9*I9/100</f>
        <v>0</v>
      </c>
      <c r="J10" s="36">
        <f>G10+H10+I10</f>
        <v>23688.200942999996</v>
      </c>
      <c r="K10" s="10"/>
      <c r="L10" s="10"/>
      <c r="M10" s="10"/>
      <c r="N10" s="11"/>
      <c r="O10" t="s">
        <v>332</v>
      </c>
      <c r="P10" s="10"/>
      <c r="Q10" s="30">
        <f>L2</f>
        <v>93464757.845724344</v>
      </c>
      <c r="R10" s="10"/>
    </row>
    <row r="11" spans="1:19" x14ac:dyDescent="0.2">
      <c r="A11" s="9"/>
      <c r="B11" s="10"/>
      <c r="D11" s="18"/>
      <c r="E11" s="10"/>
      <c r="K11" s="10"/>
      <c r="L11" s="10"/>
      <c r="M11" s="10"/>
      <c r="N11" s="11"/>
      <c r="O11" s="10" t="s">
        <v>383</v>
      </c>
      <c r="P11" s="10"/>
      <c r="Q11" s="10"/>
      <c r="R11" s="10"/>
    </row>
    <row r="12" spans="1:19" x14ac:dyDescent="0.2">
      <c r="A12" s="9"/>
      <c r="B12" s="14" t="s">
        <v>281</v>
      </c>
      <c r="C12" s="15"/>
      <c r="D12" s="15"/>
      <c r="E12" s="15"/>
      <c r="F12" s="15"/>
      <c r="G12" s="15"/>
      <c r="H12" s="15"/>
      <c r="I12" s="10"/>
      <c r="J12" s="10"/>
      <c r="K12" s="10"/>
      <c r="L12" s="10"/>
      <c r="M12" s="10"/>
      <c r="N12" s="11"/>
      <c r="O12" s="10"/>
      <c r="P12" s="10"/>
      <c r="Q12" s="10"/>
      <c r="R12" s="10"/>
    </row>
    <row r="13" spans="1:19" ht="39.75" customHeight="1" x14ac:dyDescent="0.2">
      <c r="A13" s="9"/>
      <c r="B13" s="16" t="s">
        <v>239</v>
      </c>
      <c r="D13" s="16" t="s">
        <v>410</v>
      </c>
      <c r="E13" s="16" t="s">
        <v>411</v>
      </c>
      <c r="F13" s="16" t="s">
        <v>43</v>
      </c>
      <c r="G13" s="16" t="s">
        <v>412</v>
      </c>
      <c r="H13" s="16" t="s">
        <v>424</v>
      </c>
      <c r="I13" s="16" t="s">
        <v>425</v>
      </c>
      <c r="J13" s="16" t="s">
        <v>413</v>
      </c>
      <c r="K13" s="16" t="s">
        <v>414</v>
      </c>
      <c r="L13" s="16" t="s">
        <v>415</v>
      </c>
      <c r="N13" s="11"/>
      <c r="O13" s="16" t="s">
        <v>321</v>
      </c>
      <c r="P13" s="10"/>
      <c r="Q13" s="16" t="s">
        <v>324</v>
      </c>
      <c r="R13" s="56" t="s">
        <v>323</v>
      </c>
      <c r="S13" s="56" t="s">
        <v>322</v>
      </c>
    </row>
    <row r="14" spans="1:19" x14ac:dyDescent="0.2">
      <c r="A14" s="9"/>
      <c r="B14" s="43">
        <v>27000</v>
      </c>
      <c r="D14" s="42">
        <v>4</v>
      </c>
      <c r="E14" s="19">
        <f>(D9*G9/100)/D14</f>
        <v>1974.0167452499998</v>
      </c>
      <c r="F14" s="49">
        <f>E14*B14</f>
        <v>53298452.121749997</v>
      </c>
      <c r="G14" s="42">
        <v>7</v>
      </c>
      <c r="H14" s="19">
        <f>E9*H9/100/G14</f>
        <v>2256.019137428571</v>
      </c>
      <c r="I14" s="50">
        <f>H14*B14</f>
        <v>60912516.710571416</v>
      </c>
      <c r="J14" s="42">
        <v>13</v>
      </c>
      <c r="K14" s="19">
        <f>F9*I9/100/J14</f>
        <v>0</v>
      </c>
      <c r="L14" s="50">
        <f>K14*B14</f>
        <v>0</v>
      </c>
      <c r="N14" s="11"/>
      <c r="O14" s="10" t="s">
        <v>297</v>
      </c>
      <c r="P14" s="30">
        <v>28110</v>
      </c>
      <c r="Q14" s="30">
        <f>(B14-P14)*(E14+H14+K14)</f>
        <v>-4695339.8297732128</v>
      </c>
      <c r="R14" s="4">
        <f>(B14-P14)*S14</f>
        <v>-1956391.5957388387</v>
      </c>
      <c r="S14" s="55">
        <f>H18/B14</f>
        <v>1762.514951116071</v>
      </c>
    </row>
    <row r="15" spans="1:19" x14ac:dyDescent="0.2">
      <c r="A15" s="9"/>
      <c r="B15" s="69">
        <f>B14/12</f>
        <v>2250</v>
      </c>
      <c r="C15" s="15" t="s">
        <v>372</v>
      </c>
      <c r="D15" s="10"/>
      <c r="E15" s="10"/>
      <c r="F15" s="10"/>
      <c r="G15" s="10"/>
      <c r="H15" s="18"/>
      <c r="I15" s="10"/>
      <c r="J15" s="10"/>
      <c r="K15" s="15" t="s">
        <v>234</v>
      </c>
      <c r="L15" s="37">
        <f>F14+I14+L14</f>
        <v>114210968.83232141</v>
      </c>
      <c r="M15" s="10"/>
      <c r="N15" s="11"/>
      <c r="O15" s="10" t="s">
        <v>298</v>
      </c>
      <c r="P15" s="10"/>
      <c r="Q15" s="3">
        <f>E14</f>
        <v>1974.0167452499998</v>
      </c>
      <c r="R15" s="54"/>
    </row>
    <row r="16" spans="1:19" x14ac:dyDescent="0.2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5" t="s">
        <v>238</v>
      </c>
      <c r="L16" s="36">
        <f>E14+H14+K14</f>
        <v>4230.0358826785705</v>
      </c>
      <c r="M16" s="10"/>
      <c r="N16" s="11"/>
      <c r="O16" s="10" t="s">
        <v>299</v>
      </c>
      <c r="P16" s="10"/>
      <c r="Q16" s="18">
        <f>H14+K14</f>
        <v>2256.019137428571</v>
      </c>
      <c r="R16" s="55">
        <f>Q15+Q16</f>
        <v>4230.0358826785705</v>
      </c>
    </row>
    <row r="17" spans="1:18" ht="67.5" customHeight="1" x14ac:dyDescent="0.2">
      <c r="A17" s="9"/>
      <c r="B17" s="16" t="s">
        <v>37</v>
      </c>
      <c r="C17" s="16" t="s">
        <v>39</v>
      </c>
      <c r="D17" s="16" t="s">
        <v>42</v>
      </c>
      <c r="E17" s="16" t="s">
        <v>253</v>
      </c>
      <c r="F17" s="16" t="s">
        <v>38</v>
      </c>
      <c r="G17" s="16" t="s">
        <v>233</v>
      </c>
      <c r="H17" s="16" t="s">
        <v>240</v>
      </c>
      <c r="I17" s="16" t="s">
        <v>224</v>
      </c>
      <c r="J17" s="16" t="s">
        <v>223</v>
      </c>
      <c r="K17" s="16" t="s">
        <v>230</v>
      </c>
      <c r="L17" s="16" t="s">
        <v>421</v>
      </c>
      <c r="M17" s="10"/>
      <c r="N17" s="11"/>
      <c r="O17" s="10"/>
      <c r="P17" s="10"/>
      <c r="Q17" s="10"/>
      <c r="R17" s="10"/>
    </row>
    <row r="18" spans="1:18" ht="12" customHeight="1" x14ac:dyDescent="0.2">
      <c r="A18" s="9"/>
      <c r="B18" s="40">
        <v>7.5</v>
      </c>
      <c r="C18" s="20">
        <f>L9*B18/100</f>
        <v>11281505.699103748</v>
      </c>
      <c r="D18" s="40">
        <v>85</v>
      </c>
      <c r="E18" s="44">
        <v>50750</v>
      </c>
      <c r="F18" s="19">
        <f>(C18*D18/100)/E18</f>
        <v>188.95132698006279</v>
      </c>
      <c r="G18" s="40">
        <v>5</v>
      </c>
      <c r="H18" s="53">
        <f>(E14+H14+K14)*G18/12*B14</f>
        <v>47587903.680133916</v>
      </c>
      <c r="I18" s="44">
        <v>1000</v>
      </c>
      <c r="J18" s="21">
        <f>(E14+H14+K14)*I18</f>
        <v>4230035.8826785702</v>
      </c>
      <c r="K18" s="49">
        <f>F14+I14+(E18*F18)+L14</f>
        <v>123800248.6765596</v>
      </c>
      <c r="L18" s="23">
        <f>L9-F14-I14-L14-(E18*F18)</f>
        <v>26619827.311490387</v>
      </c>
      <c r="M18" s="10"/>
      <c r="N18" s="11"/>
      <c r="O18" s="24" t="s">
        <v>327</v>
      </c>
      <c r="P18" s="26">
        <f>91680</f>
        <v>91680</v>
      </c>
      <c r="Q18" s="26">
        <f>(E18-P18)*F18</f>
        <v>-7733777.8132939702</v>
      </c>
      <c r="R18" s="10"/>
    </row>
    <row r="19" spans="1:18" x14ac:dyDescent="0.2">
      <c r="A19" s="9"/>
      <c r="B19" s="15" t="s">
        <v>422</v>
      </c>
      <c r="C19" s="103">
        <f>J10/F18</f>
        <v>125.36668210591323</v>
      </c>
      <c r="D19" s="15" t="s">
        <v>40</v>
      </c>
      <c r="E19" s="15"/>
      <c r="F19" s="51">
        <f>E18*F18</f>
        <v>9589279.8442381863</v>
      </c>
      <c r="G19" s="10"/>
      <c r="H19" s="10"/>
      <c r="I19" s="10"/>
      <c r="J19" s="15" t="s">
        <v>249</v>
      </c>
      <c r="K19" s="15"/>
      <c r="L19" s="37">
        <f>K18+L18</f>
        <v>150420075.98804998</v>
      </c>
      <c r="M19" s="10"/>
      <c r="N19" s="11"/>
      <c r="O19" s="10" t="s">
        <v>300</v>
      </c>
      <c r="P19" s="10"/>
      <c r="Q19" s="18">
        <f>F18</f>
        <v>188.95132698006279</v>
      </c>
      <c r="R19" s="10"/>
    </row>
    <row r="20" spans="1:18" ht="12" customHeight="1" x14ac:dyDescent="0.2">
      <c r="A20" s="9"/>
      <c r="B20" s="15" t="s">
        <v>423</v>
      </c>
      <c r="C20" s="101">
        <f>(E14+H14)/F18</f>
        <v>22.386907518913073</v>
      </c>
      <c r="D20" s="15" t="s">
        <v>235</v>
      </c>
      <c r="E20" s="15"/>
      <c r="F20" s="51">
        <f>(100-D18)/100*C18</f>
        <v>1692225.8548655622</v>
      </c>
      <c r="G20" s="10"/>
      <c r="H20" s="102"/>
      <c r="I20" s="10"/>
      <c r="J20" s="10"/>
      <c r="K20" s="22"/>
      <c r="L20" s="22"/>
      <c r="M20" s="10"/>
      <c r="N20" s="11"/>
      <c r="O20" s="25" t="s">
        <v>301</v>
      </c>
      <c r="P20" s="10"/>
      <c r="Q20" s="28">
        <f>L18</f>
        <v>26619827.311490387</v>
      </c>
      <c r="R20" s="10"/>
    </row>
    <row r="21" spans="1:18" ht="12" customHeight="1" x14ac:dyDescent="0.2">
      <c r="A21" s="9"/>
      <c r="B21" s="10"/>
      <c r="C21" s="10"/>
      <c r="D21" s="10"/>
      <c r="E21" s="10"/>
      <c r="F21" s="27"/>
      <c r="G21" s="10"/>
      <c r="H21" s="22"/>
      <c r="I21" s="10"/>
      <c r="J21" s="10"/>
      <c r="K21" s="22"/>
      <c r="L21" s="22"/>
      <c r="M21" s="10"/>
      <c r="N21" s="11"/>
      <c r="O21" s="25" t="s">
        <v>302</v>
      </c>
      <c r="P21" s="10"/>
      <c r="Q21" s="28">
        <f>J18</f>
        <v>4230035.8826785702</v>
      </c>
      <c r="R21" s="10"/>
    </row>
    <row r="22" spans="1:18" ht="12" customHeight="1" x14ac:dyDescent="0.2">
      <c r="A22" s="9"/>
      <c r="B22" s="14" t="s">
        <v>278</v>
      </c>
      <c r="C22" s="14"/>
      <c r="D22" s="14"/>
      <c r="E22" s="14"/>
      <c r="F22" s="29"/>
      <c r="H22" s="10"/>
      <c r="I22" s="10"/>
      <c r="J22" s="10"/>
      <c r="K22" s="10"/>
      <c r="L22" s="10"/>
      <c r="M22" s="10"/>
      <c r="N22" s="11"/>
      <c r="O22" s="25"/>
      <c r="P22" s="10"/>
      <c r="Q22" s="28"/>
      <c r="R22" s="10"/>
    </row>
    <row r="23" spans="1:18" ht="51" customHeight="1" x14ac:dyDescent="0.2">
      <c r="A23" s="9"/>
      <c r="B23" s="56" t="s">
        <v>246</v>
      </c>
      <c r="C23" s="16" t="s">
        <v>45</v>
      </c>
      <c r="D23" s="16" t="s">
        <v>279</v>
      </c>
      <c r="E23" s="16" t="s">
        <v>231</v>
      </c>
      <c r="F23" s="16" t="s">
        <v>46</v>
      </c>
      <c r="G23" s="16" t="s">
        <v>232</v>
      </c>
      <c r="H23" s="10"/>
      <c r="I23" s="16" t="s">
        <v>374</v>
      </c>
      <c r="J23" s="16" t="s">
        <v>47</v>
      </c>
      <c r="K23" s="16" t="s">
        <v>48</v>
      </c>
      <c r="L23" s="16"/>
      <c r="M23" s="10"/>
      <c r="N23" s="11"/>
      <c r="O23" s="10"/>
      <c r="P23" s="10"/>
      <c r="Q23" s="10"/>
      <c r="R23" s="10"/>
    </row>
    <row r="24" spans="1:18" x14ac:dyDescent="0.2">
      <c r="A24" s="9"/>
      <c r="B24" s="40">
        <v>60</v>
      </c>
      <c r="C24" s="57">
        <f>J9/B24</f>
        <v>394.80334904999995</v>
      </c>
      <c r="D24" s="40">
        <v>35</v>
      </c>
      <c r="E24" s="40">
        <v>325</v>
      </c>
      <c r="F24" s="62">
        <v>43.5</v>
      </c>
      <c r="G24" s="21">
        <f>(D26+E26)*F24</f>
        <v>41646818.282911867</v>
      </c>
      <c r="H24" s="10"/>
      <c r="I24" s="21">
        <f>G24</f>
        <v>41646818.282911867</v>
      </c>
      <c r="J24" s="40">
        <v>20</v>
      </c>
      <c r="K24" s="40">
        <v>3.25</v>
      </c>
      <c r="L24" s="10"/>
      <c r="M24" s="10"/>
      <c r="N24" s="11"/>
      <c r="O24" s="10" t="s">
        <v>303</v>
      </c>
      <c r="P24" s="10"/>
      <c r="Q24" s="30">
        <f>G24</f>
        <v>41646818.282911867</v>
      </c>
      <c r="R24" s="10"/>
    </row>
    <row r="25" spans="1:18" x14ac:dyDescent="0.2">
      <c r="A25" s="9"/>
      <c r="B25" s="38" t="s">
        <v>373</v>
      </c>
      <c r="C25" s="70">
        <f>(D26+E26)/C24</f>
        <v>2425</v>
      </c>
      <c r="D25" s="38" t="s">
        <v>236</v>
      </c>
      <c r="E25" s="38" t="s">
        <v>237</v>
      </c>
      <c r="G25" s="15" t="s">
        <v>247</v>
      </c>
      <c r="H25" s="10"/>
      <c r="I25" s="10"/>
      <c r="J25" s="15" t="s">
        <v>254</v>
      </c>
      <c r="K25" s="37">
        <f>Q25</f>
        <v>-2864421.6777034048</v>
      </c>
      <c r="L25" s="10"/>
      <c r="M25" s="10"/>
      <c r="N25" s="11"/>
      <c r="O25" s="10" t="s">
        <v>304</v>
      </c>
      <c r="P25" s="10"/>
      <c r="Q25" s="22">
        <f>PMT(K24/100,J24,I24)</f>
        <v>-2864421.6777034048</v>
      </c>
      <c r="R25" s="10"/>
    </row>
    <row r="26" spans="1:18" x14ac:dyDescent="0.2">
      <c r="A26" s="9"/>
      <c r="D26" s="48">
        <f>J9*D24</f>
        <v>829087.03300499986</v>
      </c>
      <c r="E26" s="48">
        <f>C24*E24</f>
        <v>128311.08844124999</v>
      </c>
      <c r="F26" s="10"/>
      <c r="G26" s="47">
        <f>G24/C24</f>
        <v>105487.49999999999</v>
      </c>
      <c r="H26" s="30"/>
      <c r="I26" s="10"/>
      <c r="J26" s="10"/>
      <c r="K26" s="10"/>
      <c r="L26" s="10"/>
      <c r="M26" s="10"/>
      <c r="N26" s="11"/>
      <c r="O26" s="10" t="s">
        <v>305</v>
      </c>
      <c r="P26" s="10"/>
      <c r="Q26" s="22">
        <f>-K25</f>
        <v>2864421.6777034048</v>
      </c>
      <c r="R26" s="10"/>
    </row>
    <row r="27" spans="1:18" x14ac:dyDescent="0.2">
      <c r="A27" s="9"/>
      <c r="B27" s="18"/>
      <c r="C27" s="1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</row>
    <row r="28" spans="1:18" x14ac:dyDescent="0.2">
      <c r="A28" s="9"/>
      <c r="B28" s="14" t="s">
        <v>32</v>
      </c>
      <c r="C28" s="15"/>
      <c r="D28" s="15"/>
      <c r="E28" s="15"/>
      <c r="F28" s="15"/>
      <c r="G28" s="15"/>
      <c r="H28" s="15"/>
      <c r="K28" s="10"/>
      <c r="L28" s="10"/>
      <c r="M28" s="10"/>
      <c r="N28" s="11"/>
      <c r="O28" s="10"/>
      <c r="P28" s="10"/>
      <c r="Q28" s="22"/>
      <c r="R28" s="10"/>
    </row>
    <row r="29" spans="1:18" ht="51" x14ac:dyDescent="0.2">
      <c r="A29" s="9"/>
      <c r="B29" s="10"/>
      <c r="C29" s="2" t="s">
        <v>34</v>
      </c>
      <c r="D29" s="16" t="s">
        <v>17</v>
      </c>
      <c r="E29" s="16" t="s">
        <v>15</v>
      </c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 t="s">
        <v>53</v>
      </c>
      <c r="Q29" s="16" t="s">
        <v>287</v>
      </c>
      <c r="R29" s="10" t="s">
        <v>244</v>
      </c>
    </row>
    <row r="30" spans="1:18" x14ac:dyDescent="0.2">
      <c r="A30" s="9"/>
      <c r="B30" s="10"/>
      <c r="C30" s="10"/>
      <c r="D30" s="40">
        <v>50</v>
      </c>
      <c r="E30" s="19">
        <f>J9*D30/100</f>
        <v>11844.100471499998</v>
      </c>
      <c r="F30" s="10"/>
      <c r="G30" s="10"/>
      <c r="H30" s="10"/>
      <c r="I30" s="10"/>
      <c r="J30" s="10"/>
      <c r="K30" s="10"/>
      <c r="L30" s="10"/>
      <c r="M30" s="10"/>
      <c r="N30" s="11"/>
      <c r="O30" s="10" t="s">
        <v>306</v>
      </c>
      <c r="P30" s="18">
        <f>E30</f>
        <v>11844.100471499998</v>
      </c>
      <c r="Q30" s="18">
        <v>70</v>
      </c>
      <c r="R30" s="18">
        <f>P30*Q30/100</f>
        <v>8290.8703300499983</v>
      </c>
    </row>
    <row r="31" spans="1:18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 t="s">
        <v>245</v>
      </c>
      <c r="P31" s="10"/>
      <c r="Q31" s="10"/>
      <c r="R31" s="10"/>
    </row>
    <row r="32" spans="1:18" ht="77.25" customHeight="1" x14ac:dyDescent="0.2">
      <c r="A32" s="9"/>
      <c r="B32" s="10"/>
      <c r="C32" s="2" t="s">
        <v>33</v>
      </c>
      <c r="D32" s="16" t="s">
        <v>16</v>
      </c>
      <c r="E32" s="16" t="s">
        <v>258</v>
      </c>
      <c r="F32" s="16" t="s">
        <v>267</v>
      </c>
      <c r="G32" s="16" t="s">
        <v>257</v>
      </c>
      <c r="H32" s="16" t="s">
        <v>268</v>
      </c>
      <c r="I32" s="16" t="s">
        <v>256</v>
      </c>
      <c r="J32" s="16" t="s">
        <v>269</v>
      </c>
      <c r="K32" s="16" t="s">
        <v>255</v>
      </c>
      <c r="L32" s="16"/>
      <c r="M32" s="16"/>
      <c r="N32" s="11"/>
      <c r="O32" s="16" t="s">
        <v>248</v>
      </c>
      <c r="P32" s="10"/>
      <c r="Q32" s="16" t="s">
        <v>54</v>
      </c>
      <c r="R32" s="10"/>
    </row>
    <row r="33" spans="1:19" x14ac:dyDescent="0.2">
      <c r="A33" s="9"/>
      <c r="B33" s="10"/>
      <c r="C33" s="10"/>
      <c r="D33" s="40">
        <v>50</v>
      </c>
      <c r="E33" s="19">
        <f>J9*D33/100/IF(I9=0,3,5)</f>
        <v>3948.0334904999995</v>
      </c>
      <c r="F33" s="40">
        <v>45</v>
      </c>
      <c r="G33" s="19">
        <f>E33*F33/100</f>
        <v>1776.6150707249999</v>
      </c>
      <c r="H33" s="40">
        <v>25</v>
      </c>
      <c r="I33" s="19">
        <f>E33*H33/100</f>
        <v>987.00837262499988</v>
      </c>
      <c r="J33" s="40">
        <v>15</v>
      </c>
      <c r="K33" s="19">
        <f>E33*J33/100</f>
        <v>592.20502357499993</v>
      </c>
      <c r="M33" s="10"/>
      <c r="N33" s="11"/>
      <c r="O33" s="10" t="s">
        <v>307</v>
      </c>
      <c r="P33" s="18">
        <f>G33</f>
        <v>1776.6150707249999</v>
      </c>
      <c r="Q33" s="30">
        <v>12500</v>
      </c>
      <c r="R33" s="30">
        <f>P33*Q33</f>
        <v>22207688.384062499</v>
      </c>
      <c r="S33" s="4"/>
    </row>
    <row r="34" spans="1:19" x14ac:dyDescent="0.2">
      <c r="A34" s="9"/>
      <c r="B34" s="10"/>
      <c r="C34" s="10"/>
      <c r="D34" s="10"/>
      <c r="E34" s="10"/>
      <c r="F34" s="10"/>
      <c r="G34" s="10"/>
      <c r="H34" s="15" t="s">
        <v>260</v>
      </c>
      <c r="I34" s="38"/>
      <c r="J34" s="15"/>
      <c r="K34" s="36">
        <f>G33+I33+K33</f>
        <v>3355.8284669249997</v>
      </c>
      <c r="L34" s="10"/>
      <c r="M34" s="10"/>
      <c r="N34" s="11"/>
      <c r="O34" s="10" t="s">
        <v>309</v>
      </c>
      <c r="P34" s="18">
        <f>I33</f>
        <v>987.00837262499988</v>
      </c>
      <c r="Q34" s="30">
        <v>20000</v>
      </c>
      <c r="R34" s="30">
        <f t="shared" ref="R34:R35" si="0">P34*Q34</f>
        <v>19740167.452499997</v>
      </c>
    </row>
    <row r="35" spans="1:19" x14ac:dyDescent="0.2">
      <c r="A35" s="9"/>
      <c r="B35" s="10"/>
      <c r="C35" s="10"/>
      <c r="D35" s="10"/>
      <c r="E35" s="10"/>
      <c r="F35" s="10"/>
      <c r="G35" s="10"/>
      <c r="H35" s="15" t="s">
        <v>261</v>
      </c>
      <c r="I35" s="15"/>
      <c r="J35" s="38"/>
      <c r="K35" s="60">
        <f>K34/E33</f>
        <v>0.85</v>
      </c>
      <c r="L35" s="18"/>
      <c r="M35" s="18"/>
      <c r="N35" s="11"/>
      <c r="O35" s="10" t="s">
        <v>308</v>
      </c>
      <c r="P35" s="18">
        <f>K33</f>
        <v>592.20502357499993</v>
      </c>
      <c r="Q35" s="30">
        <v>27500</v>
      </c>
      <c r="R35" s="30">
        <f t="shared" si="0"/>
        <v>16285638.148312498</v>
      </c>
    </row>
    <row r="36" spans="1:19" ht="78" customHeight="1" x14ac:dyDescent="0.2">
      <c r="A36" s="9"/>
      <c r="B36" s="10"/>
      <c r="C36" s="2" t="s">
        <v>30</v>
      </c>
      <c r="D36" s="16" t="s">
        <v>270</v>
      </c>
      <c r="E36" s="16" t="s">
        <v>271</v>
      </c>
      <c r="F36" s="10"/>
      <c r="G36" s="10"/>
      <c r="H36" s="10"/>
      <c r="I36" s="10"/>
      <c r="J36" s="10"/>
      <c r="K36" s="10"/>
      <c r="L36" s="10"/>
      <c r="M36" s="10"/>
      <c r="N36" s="11"/>
      <c r="O36" s="16" t="s">
        <v>272</v>
      </c>
      <c r="P36" s="10" t="s">
        <v>288</v>
      </c>
      <c r="Q36" s="10" t="s">
        <v>289</v>
      </c>
      <c r="R36" s="10"/>
    </row>
    <row r="37" spans="1:19" x14ac:dyDescent="0.2">
      <c r="A37" s="9"/>
      <c r="B37" s="10"/>
      <c r="C37" s="10"/>
      <c r="D37" s="40">
        <v>1</v>
      </c>
      <c r="E37" s="19">
        <f>J9*D37/100/IF(I9=0,3,5)</f>
        <v>78.960669809999985</v>
      </c>
      <c r="F37" s="10"/>
      <c r="G37" s="10"/>
      <c r="H37" s="10"/>
      <c r="I37" s="10"/>
      <c r="J37" s="10"/>
      <c r="K37" s="10"/>
      <c r="L37" s="10"/>
      <c r="M37" s="10"/>
      <c r="N37" s="11"/>
      <c r="O37" s="10" t="s">
        <v>310</v>
      </c>
      <c r="P37" s="18">
        <f>E37</f>
        <v>78.960669809999985</v>
      </c>
      <c r="Q37" s="18">
        <f>P37*3</f>
        <v>236.88200942999995</v>
      </c>
      <c r="R37" s="10"/>
    </row>
    <row r="38" spans="1:19" x14ac:dyDescent="0.2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/>
      <c r="O38" s="10"/>
      <c r="P38" s="10"/>
      <c r="Q38" s="10"/>
      <c r="R38" s="10"/>
    </row>
    <row r="39" spans="1:19" x14ac:dyDescent="0.2">
      <c r="A39" s="9"/>
      <c r="B39" s="14" t="s">
        <v>229</v>
      </c>
      <c r="C39" s="15"/>
      <c r="D39" s="15"/>
      <c r="E39" s="15"/>
      <c r="F39" s="15"/>
      <c r="G39" s="15"/>
      <c r="H39" s="15"/>
      <c r="I39" s="15"/>
      <c r="J39" s="15"/>
      <c r="K39" s="15"/>
      <c r="L39" s="10"/>
      <c r="M39" s="10"/>
      <c r="N39" s="11"/>
      <c r="O39" s="10"/>
      <c r="P39" s="10"/>
      <c r="Q39" s="10"/>
      <c r="R39" s="10"/>
    </row>
    <row r="40" spans="1:19" x14ac:dyDescent="0.2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1"/>
      <c r="O40" s="10"/>
      <c r="P40" s="10"/>
      <c r="Q40" s="10"/>
      <c r="R40" s="10"/>
    </row>
    <row r="41" spans="1:19" ht="76.5" customHeight="1" x14ac:dyDescent="0.2">
      <c r="A41" s="9"/>
      <c r="B41" s="10"/>
      <c r="C41" s="2" t="s">
        <v>292</v>
      </c>
      <c r="E41" s="10"/>
      <c r="F41" s="10"/>
      <c r="G41" s="10"/>
      <c r="H41" s="10"/>
      <c r="I41" s="10"/>
      <c r="J41" s="10"/>
      <c r="K41" s="10"/>
      <c r="L41" s="10"/>
      <c r="M41" s="10"/>
      <c r="N41" s="11"/>
      <c r="O41" s="16" t="s">
        <v>291</v>
      </c>
      <c r="P41" s="10"/>
      <c r="Q41" s="10"/>
      <c r="R41" s="10"/>
    </row>
    <row r="42" spans="1:19" x14ac:dyDescent="0.2">
      <c r="A42" s="9"/>
      <c r="B42" s="10"/>
      <c r="C42" s="10"/>
      <c r="D42" s="63">
        <v>35000000</v>
      </c>
      <c r="E42" s="10"/>
      <c r="F42" s="10"/>
      <c r="G42" s="10"/>
      <c r="H42" s="10"/>
      <c r="I42" s="10"/>
      <c r="J42" s="10"/>
      <c r="K42" s="10"/>
      <c r="L42" s="10"/>
      <c r="M42" s="10"/>
      <c r="N42" s="11"/>
      <c r="O42" t="s">
        <v>311</v>
      </c>
      <c r="P42" s="10"/>
      <c r="Q42" s="30">
        <f>D42</f>
        <v>35000000</v>
      </c>
      <c r="R42" s="10"/>
    </row>
    <row r="43" spans="1:19" x14ac:dyDescent="0.2">
      <c r="A43" s="9"/>
      <c r="B43" s="10"/>
      <c r="C43" s="10"/>
      <c r="E43" s="10"/>
      <c r="F43" s="10"/>
      <c r="G43" s="10"/>
      <c r="H43" s="10"/>
      <c r="I43" s="10"/>
      <c r="J43" s="10"/>
      <c r="K43" s="10"/>
      <c r="L43" s="10"/>
      <c r="M43" s="10"/>
      <c r="N43" s="11"/>
      <c r="P43" s="10"/>
      <c r="Q43" s="30"/>
      <c r="R43" s="10"/>
    </row>
    <row r="44" spans="1:19" ht="67.5" customHeight="1" x14ac:dyDescent="0.2">
      <c r="A44" s="9"/>
      <c r="B44" s="10"/>
      <c r="C44" s="2" t="s">
        <v>35</v>
      </c>
      <c r="D44" s="16" t="s">
        <v>226</v>
      </c>
      <c r="E44" s="16" t="s">
        <v>252</v>
      </c>
      <c r="F44" s="16" t="s">
        <v>241</v>
      </c>
      <c r="G44" s="16" t="s">
        <v>36</v>
      </c>
      <c r="H44" s="16" t="s">
        <v>333</v>
      </c>
      <c r="I44" s="16" t="s">
        <v>276</v>
      </c>
      <c r="J44" s="10"/>
      <c r="K44" s="10"/>
      <c r="L44" s="10"/>
      <c r="M44" s="10"/>
      <c r="N44" s="11"/>
      <c r="O44" s="10"/>
      <c r="P44" s="10"/>
      <c r="Q44" s="10" t="s">
        <v>290</v>
      </c>
      <c r="R44" s="10"/>
    </row>
    <row r="45" spans="1:19" x14ac:dyDescent="0.2">
      <c r="A45" s="9"/>
      <c r="B45" s="10"/>
      <c r="C45" s="10"/>
      <c r="D45" s="40">
        <v>50</v>
      </c>
      <c r="E45" s="19">
        <f>J9*D45/100/IF(I9=0,3,5)</f>
        <v>3948.0334904999995</v>
      </c>
      <c r="F45" s="45">
        <v>8972</v>
      </c>
      <c r="G45" s="42">
        <v>1</v>
      </c>
      <c r="H45" s="40">
        <v>80</v>
      </c>
      <c r="I45" s="65">
        <f>E45*F45*G45*H45/100</f>
        <v>28337405.181412797</v>
      </c>
      <c r="J45" s="10"/>
      <c r="K45" s="10"/>
      <c r="L45" s="10"/>
      <c r="M45" s="10"/>
      <c r="N45" s="11"/>
      <c r="O45" s="10" t="s">
        <v>340</v>
      </c>
      <c r="P45" s="10"/>
      <c r="Q45" s="30">
        <f>I45</f>
        <v>28337405.181412797</v>
      </c>
      <c r="R45" s="10"/>
    </row>
    <row r="46" spans="1:19" x14ac:dyDescent="0.2">
      <c r="A46" s="9"/>
      <c r="B46" s="10"/>
      <c r="C46" s="10"/>
      <c r="F46" s="15" t="s">
        <v>242</v>
      </c>
      <c r="G46" s="10"/>
      <c r="H46" s="10"/>
      <c r="I46" s="10"/>
      <c r="J46" s="10"/>
      <c r="K46" s="10"/>
      <c r="L46" s="10"/>
      <c r="M46" s="10"/>
      <c r="N46" s="11"/>
      <c r="O46" s="10" t="s">
        <v>312</v>
      </c>
      <c r="P46" s="18">
        <f>E45</f>
        <v>3948.0334904999995</v>
      </c>
      <c r="Q46" s="30">
        <f>Q33</f>
        <v>12500</v>
      </c>
      <c r="R46" s="30">
        <f>P46*Q46</f>
        <v>49350418.631249994</v>
      </c>
    </row>
    <row r="47" spans="1:19" x14ac:dyDescent="0.2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/>
      <c r="O47" s="10"/>
      <c r="P47" s="10"/>
      <c r="Q47" s="10"/>
      <c r="R47" s="10"/>
    </row>
    <row r="48" spans="1:19" ht="90" customHeight="1" x14ac:dyDescent="0.2">
      <c r="A48" s="9"/>
      <c r="B48" s="10"/>
      <c r="C48" s="2" t="s">
        <v>24</v>
      </c>
      <c r="D48" s="16" t="s">
        <v>259</v>
      </c>
      <c r="E48" s="16" t="s">
        <v>282</v>
      </c>
      <c r="F48" s="16" t="s">
        <v>31</v>
      </c>
      <c r="G48" s="16" t="s">
        <v>334</v>
      </c>
      <c r="H48" s="16" t="s">
        <v>284</v>
      </c>
      <c r="J48" s="16" t="s">
        <v>342</v>
      </c>
      <c r="K48" s="16" t="s">
        <v>294</v>
      </c>
      <c r="L48" s="10"/>
      <c r="M48" s="10"/>
      <c r="N48" s="11"/>
      <c r="O48" s="10"/>
      <c r="P48" s="10"/>
      <c r="Q48" s="10"/>
      <c r="R48" s="10"/>
    </row>
    <row r="49" spans="1:18" x14ac:dyDescent="0.2">
      <c r="A49" s="9"/>
      <c r="B49" s="10"/>
      <c r="C49" s="10"/>
      <c r="D49" s="40">
        <v>10</v>
      </c>
      <c r="E49" s="19">
        <f>J9*D49/100/IF(I9=0,3,5)</f>
        <v>789.6066980999999</v>
      </c>
      <c r="F49" s="45">
        <v>15950</v>
      </c>
      <c r="G49" s="40">
        <v>90</v>
      </c>
      <c r="H49" s="65">
        <f>E49*F49*G49/100</f>
        <v>11334804.151225498</v>
      </c>
      <c r="J49" s="42">
        <v>90</v>
      </c>
      <c r="K49" s="45">
        <v>22000</v>
      </c>
      <c r="L49" s="10"/>
      <c r="M49" s="10"/>
      <c r="N49" s="11"/>
      <c r="O49" s="10" t="s">
        <v>339</v>
      </c>
      <c r="P49" s="10">
        <v>20</v>
      </c>
      <c r="Q49" s="30">
        <f>H49*P49/100</f>
        <v>2266960.8302450995</v>
      </c>
      <c r="R49" s="10"/>
    </row>
    <row r="50" spans="1:18" x14ac:dyDescent="0.2">
      <c r="A50" s="9"/>
      <c r="B50" s="10"/>
      <c r="C50" s="10"/>
      <c r="L50" s="10"/>
      <c r="M50" s="10"/>
      <c r="N50" s="11"/>
      <c r="O50" s="10" t="s">
        <v>343</v>
      </c>
      <c r="P50" s="10">
        <v>80</v>
      </c>
      <c r="Q50" s="30">
        <f>H49*P50/100</f>
        <v>9067843.320980398</v>
      </c>
      <c r="R50" s="10"/>
    </row>
    <row r="51" spans="1:18" x14ac:dyDescent="0.2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/>
      <c r="O51" s="10" t="s">
        <v>313</v>
      </c>
      <c r="P51" s="10"/>
      <c r="Q51" s="18">
        <f>E49</f>
        <v>789.6066980999999</v>
      </c>
      <c r="R51" s="10"/>
    </row>
    <row r="52" spans="1:18" x14ac:dyDescent="0.2">
      <c r="A52" s="9"/>
      <c r="B52" s="10"/>
      <c r="C52" s="10"/>
      <c r="D52" s="10"/>
      <c r="E52" s="10"/>
      <c r="F52" s="10"/>
      <c r="G52" s="10"/>
      <c r="H52" s="10"/>
      <c r="I52" s="10"/>
      <c r="J52" s="58"/>
      <c r="K52" s="10"/>
      <c r="L52" s="10"/>
      <c r="M52" s="10"/>
      <c r="N52" s="11"/>
      <c r="O52" s="10" t="s">
        <v>314</v>
      </c>
      <c r="P52" s="18">
        <f>E49*J49/100</f>
        <v>710.64602829</v>
      </c>
      <c r="Q52" s="30">
        <f>K49</f>
        <v>22000</v>
      </c>
      <c r="R52" s="30">
        <f>P52*Q52</f>
        <v>15634212.62238</v>
      </c>
    </row>
    <row r="53" spans="1:18" ht="63.75" x14ac:dyDescent="0.2">
      <c r="A53" s="9"/>
      <c r="B53" s="10"/>
      <c r="C53" s="2" t="s">
        <v>23</v>
      </c>
      <c r="D53" s="16" t="s">
        <v>273</v>
      </c>
      <c r="E53" s="16" t="s">
        <v>21</v>
      </c>
      <c r="F53" s="16" t="s">
        <v>286</v>
      </c>
      <c r="G53" s="16" t="s">
        <v>336</v>
      </c>
      <c r="H53" s="16" t="s">
        <v>283</v>
      </c>
      <c r="I53" s="10"/>
      <c r="J53" s="10"/>
      <c r="K53" s="10"/>
      <c r="L53" s="10"/>
      <c r="M53" s="10"/>
      <c r="N53" s="11"/>
      <c r="O53" s="10"/>
      <c r="P53" s="10"/>
      <c r="Q53" s="10"/>
      <c r="R53" s="10"/>
    </row>
    <row r="54" spans="1:18" x14ac:dyDescent="0.2">
      <c r="A54" s="9"/>
      <c r="B54" s="10"/>
      <c r="C54" s="10"/>
      <c r="D54" s="40">
        <v>75</v>
      </c>
      <c r="E54" s="19">
        <f>J9*D54/100/IF(I9=0,3,5)</f>
        <v>5922.05023575</v>
      </c>
      <c r="F54" s="45">
        <v>6750</v>
      </c>
      <c r="G54" s="40">
        <v>40</v>
      </c>
      <c r="H54" s="65">
        <f>E54*F54*G54/100</f>
        <v>15989535.636525</v>
      </c>
      <c r="I54" s="10"/>
      <c r="J54" s="10"/>
      <c r="K54" s="10"/>
      <c r="L54" s="10"/>
      <c r="M54" s="10"/>
      <c r="N54" s="11"/>
      <c r="O54" s="10" t="s">
        <v>315</v>
      </c>
      <c r="P54" s="10"/>
      <c r="Q54" s="30">
        <f>H54</f>
        <v>15989535.636525</v>
      </c>
      <c r="R54" s="10"/>
    </row>
    <row r="55" spans="1:18" x14ac:dyDescent="0.2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 t="s">
        <v>316</v>
      </c>
      <c r="P55" s="18">
        <f>E54</f>
        <v>5922.05023575</v>
      </c>
      <c r="Q55" s="30">
        <v>12500</v>
      </c>
      <c r="R55" s="30">
        <f>P55*Q55</f>
        <v>74025627.946875006</v>
      </c>
    </row>
    <row r="56" spans="1:18" x14ac:dyDescent="0.2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</row>
    <row r="57" spans="1:18" ht="76.5" x14ac:dyDescent="0.2">
      <c r="A57" s="9"/>
      <c r="B57" s="10"/>
      <c r="C57" s="2" t="s">
        <v>25</v>
      </c>
      <c r="D57" s="16" t="s">
        <v>274</v>
      </c>
      <c r="E57" s="16" t="s">
        <v>22</v>
      </c>
      <c r="F57" s="16" t="s">
        <v>50</v>
      </c>
      <c r="G57" s="16" t="s">
        <v>335</v>
      </c>
      <c r="H57" s="16" t="s">
        <v>285</v>
      </c>
      <c r="I57" s="10"/>
      <c r="J57" s="10"/>
      <c r="K57" s="10"/>
      <c r="L57" s="10"/>
      <c r="M57" s="10"/>
      <c r="N57" s="11"/>
      <c r="O57" s="10"/>
      <c r="P57" s="10"/>
      <c r="Q57" s="10"/>
      <c r="R57" s="10"/>
    </row>
    <row r="58" spans="1:18" x14ac:dyDescent="0.2">
      <c r="A58" s="9"/>
      <c r="B58" s="10"/>
      <c r="C58" s="10"/>
      <c r="D58" s="40">
        <v>60</v>
      </c>
      <c r="E58" s="19">
        <f>J9*D58/100/IF(I9=0,3,5)/2</f>
        <v>2368.8200942999997</v>
      </c>
      <c r="F58" s="45">
        <f>F59+F60</f>
        <v>18286</v>
      </c>
      <c r="G58" s="40">
        <v>50</v>
      </c>
      <c r="H58" s="65">
        <f>E58*F58*G58/100</f>
        <v>21658122.122184895</v>
      </c>
      <c r="I58" s="10"/>
      <c r="J58" s="10"/>
      <c r="K58" s="10"/>
      <c r="L58" s="10"/>
      <c r="M58" s="10"/>
      <c r="N58" s="11"/>
      <c r="O58" s="10" t="s">
        <v>375</v>
      </c>
      <c r="P58" s="10"/>
      <c r="Q58" s="30">
        <f>H58</f>
        <v>21658122.122184895</v>
      </c>
      <c r="R58" s="10"/>
    </row>
    <row r="59" spans="1:18" x14ac:dyDescent="0.2">
      <c r="A59" s="9"/>
      <c r="B59" s="10"/>
      <c r="C59" s="10"/>
      <c r="D59" s="15" t="s">
        <v>52</v>
      </c>
      <c r="E59" s="15" t="s">
        <v>49</v>
      </c>
      <c r="F59" s="46">
        <v>7480</v>
      </c>
      <c r="G59" s="10"/>
      <c r="H59" s="10"/>
      <c r="I59" s="10"/>
      <c r="J59" s="10"/>
      <c r="K59" s="10"/>
      <c r="L59" s="10"/>
      <c r="M59" s="10"/>
      <c r="N59" s="11"/>
      <c r="O59" s="10" t="s">
        <v>341</v>
      </c>
      <c r="P59" s="18">
        <f>E58</f>
        <v>2368.8200942999997</v>
      </c>
      <c r="Q59" s="30">
        <f>Q33</f>
        <v>12500</v>
      </c>
      <c r="R59" s="30">
        <f>P59*Q59</f>
        <v>29610251.178749997</v>
      </c>
    </row>
    <row r="60" spans="1:18" x14ac:dyDescent="0.2">
      <c r="A60" s="9"/>
      <c r="B60" s="10"/>
      <c r="C60" s="10"/>
      <c r="D60" s="15"/>
      <c r="E60" s="15" t="s">
        <v>51</v>
      </c>
      <c r="F60" s="47">
        <v>10806</v>
      </c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</row>
    <row r="61" spans="1:18" x14ac:dyDescent="0.2">
      <c r="A61" s="9"/>
      <c r="B61" s="10"/>
      <c r="C61" s="10"/>
      <c r="D61" s="10"/>
      <c r="E61" s="10"/>
      <c r="F61" s="3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</row>
    <row r="62" spans="1:18" ht="63.75" x14ac:dyDescent="0.2">
      <c r="A62" s="9"/>
      <c r="B62" s="10"/>
      <c r="C62" s="2" t="s">
        <v>26</v>
      </c>
      <c r="D62" s="16" t="s">
        <v>275</v>
      </c>
      <c r="E62" s="16" t="s">
        <v>27</v>
      </c>
      <c r="F62" s="16" t="s">
        <v>28</v>
      </c>
      <c r="G62" s="16" t="s">
        <v>337</v>
      </c>
      <c r="H62" s="16" t="s">
        <v>29</v>
      </c>
      <c r="I62" s="10"/>
      <c r="J62" s="10"/>
      <c r="K62" s="10"/>
      <c r="L62" s="10"/>
      <c r="M62" s="10"/>
      <c r="N62" s="11"/>
      <c r="O62" s="10"/>
      <c r="P62" s="10"/>
      <c r="Q62" s="10"/>
      <c r="R62" s="10"/>
    </row>
    <row r="63" spans="1:18" x14ac:dyDescent="0.2">
      <c r="A63" s="9"/>
      <c r="B63" s="10"/>
      <c r="C63" s="10"/>
      <c r="D63" s="40">
        <v>67</v>
      </c>
      <c r="E63" s="19">
        <f>J9*D63/100/IF(I9=0,3,5)</f>
        <v>5290.3648772699989</v>
      </c>
      <c r="F63" s="45">
        <v>4875</v>
      </c>
      <c r="G63" s="40">
        <v>75</v>
      </c>
      <c r="H63" s="65">
        <f>E63*F63*G63/100</f>
        <v>19342896.582518432</v>
      </c>
      <c r="I63" s="10"/>
      <c r="J63" s="10"/>
      <c r="K63" s="10"/>
      <c r="L63" s="10"/>
      <c r="M63" s="10"/>
      <c r="N63" s="11"/>
      <c r="O63" s="10" t="s">
        <v>317</v>
      </c>
      <c r="P63" s="10"/>
      <c r="Q63" s="30">
        <f>H63</f>
        <v>19342896.582518432</v>
      </c>
      <c r="R63" s="10"/>
    </row>
    <row r="64" spans="1:18" x14ac:dyDescent="0.2">
      <c r="A64" s="9"/>
      <c r="B64" s="10"/>
      <c r="C64" s="10"/>
      <c r="H64" s="10"/>
      <c r="I64" s="10"/>
      <c r="J64" s="10"/>
      <c r="K64" s="10"/>
      <c r="L64" s="10"/>
      <c r="M64" s="10"/>
      <c r="N64" s="11"/>
      <c r="O64" s="10" t="s">
        <v>319</v>
      </c>
      <c r="P64" s="18">
        <f>E63</f>
        <v>5290.3648772699989</v>
      </c>
      <c r="Q64" s="30">
        <f>Q33</f>
        <v>12500</v>
      </c>
      <c r="R64" s="30">
        <f>P64*Q64</f>
        <v>66129560.965874985</v>
      </c>
    </row>
    <row r="65" spans="1:18" x14ac:dyDescent="0.2">
      <c r="A65" s="9"/>
      <c r="B65" s="10"/>
      <c r="C65" s="10"/>
      <c r="D65" s="10"/>
      <c r="E65" s="10"/>
      <c r="F65" s="10"/>
      <c r="G65" s="10"/>
      <c r="H65" s="10"/>
      <c r="I65" s="31" t="s">
        <v>227</v>
      </c>
      <c r="J65" s="32"/>
      <c r="K65" s="33"/>
      <c r="L65" s="34">
        <f>I45+H49+H54+H58+H63</f>
        <v>96662763.673866615</v>
      </c>
      <c r="M65" s="10"/>
      <c r="N65" s="11"/>
    </row>
    <row r="66" spans="1:18" x14ac:dyDescent="0.2">
      <c r="A66" s="9"/>
      <c r="B66" s="10"/>
      <c r="C66" s="10"/>
      <c r="D66" s="10"/>
      <c r="E66" s="10"/>
      <c r="F66" s="10"/>
      <c r="G66" s="10"/>
      <c r="H66" s="10"/>
      <c r="I66" s="31" t="s">
        <v>243</v>
      </c>
      <c r="J66" s="32"/>
      <c r="K66" s="33"/>
      <c r="L66" s="34">
        <f>L9</f>
        <v>150420075.98804998</v>
      </c>
      <c r="M66" s="10"/>
      <c r="N66" s="11"/>
    </row>
    <row r="67" spans="1:18" x14ac:dyDescent="0.2">
      <c r="A67" s="9"/>
      <c r="B67" s="10"/>
      <c r="C67" s="10"/>
      <c r="D67" s="10"/>
      <c r="E67" s="10"/>
      <c r="F67" s="10"/>
      <c r="G67" s="10"/>
      <c r="H67" s="10"/>
      <c r="I67" s="31" t="s">
        <v>295</v>
      </c>
      <c r="J67" s="32"/>
      <c r="K67" s="33"/>
      <c r="L67" s="34">
        <f>D42</f>
        <v>35000000</v>
      </c>
      <c r="M67" s="10"/>
      <c r="N67" s="11"/>
    </row>
    <row r="68" spans="1:18" x14ac:dyDescent="0.2">
      <c r="A68" s="9"/>
      <c r="B68" s="10"/>
      <c r="C68" s="10"/>
      <c r="D68" s="10"/>
      <c r="E68" s="10"/>
      <c r="F68" s="10"/>
      <c r="G68" s="10"/>
      <c r="H68" s="10"/>
      <c r="I68" s="31" t="s">
        <v>296</v>
      </c>
      <c r="J68" s="32"/>
      <c r="K68" s="33"/>
      <c r="L68" s="21">
        <f>L66-L67</f>
        <v>115420075.98804998</v>
      </c>
      <c r="M68" s="10"/>
      <c r="N68" s="11"/>
    </row>
    <row r="69" spans="1:18" ht="93.75" customHeight="1" x14ac:dyDescent="0.2">
      <c r="A69" s="9"/>
      <c r="B69" s="10"/>
      <c r="C69" s="2" t="s">
        <v>338</v>
      </c>
      <c r="D69" s="16" t="s">
        <v>318</v>
      </c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10"/>
      <c r="P69" s="10"/>
      <c r="Q69" s="10"/>
      <c r="R69" s="10"/>
    </row>
    <row r="70" spans="1:18" x14ac:dyDescent="0.2">
      <c r="A70" s="9"/>
      <c r="B70" s="10"/>
      <c r="C70" s="10"/>
      <c r="D70" s="17">
        <v>2</v>
      </c>
      <c r="E70" s="10"/>
      <c r="F70" s="10"/>
      <c r="G70" s="10"/>
      <c r="H70" s="10"/>
      <c r="I70" s="10"/>
      <c r="J70" s="10"/>
      <c r="K70" s="10"/>
      <c r="L70" s="10"/>
      <c r="M70" s="10"/>
      <c r="N70" s="11"/>
      <c r="O70" s="10" t="s">
        <v>320</v>
      </c>
      <c r="P70" s="10"/>
      <c r="Q70" s="10">
        <f>D70</f>
        <v>2</v>
      </c>
      <c r="R70" s="10"/>
    </row>
    <row r="71" spans="1:18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/>
      <c r="O71" s="10"/>
      <c r="P71" s="10"/>
      <c r="Q71" s="10"/>
      <c r="R71" s="10"/>
    </row>
    <row r="74" spans="1:18" x14ac:dyDescent="0.2">
      <c r="C74" s="61" t="s">
        <v>325</v>
      </c>
    </row>
    <row r="75" spans="1:18" x14ac:dyDescent="0.2">
      <c r="C75">
        <v>2018</v>
      </c>
      <c r="E75" t="s">
        <v>326</v>
      </c>
      <c r="O75" s="92" t="s">
        <v>392</v>
      </c>
      <c r="P75" s="93"/>
      <c r="Q75" s="93"/>
      <c r="R75" s="81"/>
    </row>
    <row r="76" spans="1:18" x14ac:dyDescent="0.2">
      <c r="C76">
        <v>2019</v>
      </c>
      <c r="D76">
        <v>0</v>
      </c>
      <c r="E76" t="s">
        <v>264</v>
      </c>
      <c r="O76" s="75"/>
      <c r="P76" s="75"/>
      <c r="Q76" s="75"/>
      <c r="R76" s="75"/>
    </row>
    <row r="77" spans="1:18" x14ac:dyDescent="0.2">
      <c r="C77">
        <f>C76+1</f>
        <v>2020</v>
      </c>
      <c r="D77">
        <f>D76+1</f>
        <v>1</v>
      </c>
      <c r="E77" t="s">
        <v>265</v>
      </c>
      <c r="O77" s="75" t="s">
        <v>331</v>
      </c>
      <c r="P77" s="75"/>
      <c r="Q77" s="87">
        <v>115420075.98804998</v>
      </c>
      <c r="R77" s="75"/>
    </row>
    <row r="78" spans="1:18" x14ac:dyDescent="0.2">
      <c r="C78">
        <f t="shared" ref="C78:C117" si="1">C77+1</f>
        <v>2021</v>
      </c>
      <c r="D78">
        <f t="shared" ref="D78:D97" si="2">D77+1</f>
        <v>2</v>
      </c>
      <c r="E78" t="s">
        <v>265</v>
      </c>
      <c r="O78" s="75" t="s">
        <v>332</v>
      </c>
      <c r="P78" s="75"/>
      <c r="Q78" s="87">
        <v>93464757.845724344</v>
      </c>
      <c r="R78" s="75"/>
    </row>
    <row r="79" spans="1:18" x14ac:dyDescent="0.2">
      <c r="C79">
        <f t="shared" si="1"/>
        <v>2022</v>
      </c>
      <c r="D79">
        <f t="shared" si="2"/>
        <v>3</v>
      </c>
      <c r="E79" t="s">
        <v>293</v>
      </c>
      <c r="O79" s="75" t="s">
        <v>383</v>
      </c>
      <c r="P79" s="75"/>
      <c r="Q79" s="75"/>
      <c r="R79" s="75"/>
    </row>
    <row r="80" spans="1:18" ht="38.25" x14ac:dyDescent="0.2">
      <c r="C80">
        <f t="shared" si="1"/>
        <v>2023</v>
      </c>
      <c r="D80">
        <f t="shared" si="2"/>
        <v>4</v>
      </c>
      <c r="E80" s="61" t="s">
        <v>263</v>
      </c>
      <c r="G80" t="s">
        <v>402</v>
      </c>
      <c r="H80" s="56" t="s">
        <v>403</v>
      </c>
      <c r="I80" t="s">
        <v>404</v>
      </c>
      <c r="J80" s="56" t="s">
        <v>405</v>
      </c>
      <c r="K80" t="s">
        <v>406</v>
      </c>
      <c r="L80" s="56" t="s">
        <v>401</v>
      </c>
      <c r="O80" s="76" t="s">
        <v>321</v>
      </c>
      <c r="P80" s="75"/>
      <c r="Q80" s="76" t="s">
        <v>324</v>
      </c>
      <c r="R80" s="76" t="s">
        <v>323</v>
      </c>
    </row>
    <row r="81" spans="3:18" x14ac:dyDescent="0.2">
      <c r="C81">
        <f t="shared" si="1"/>
        <v>2024</v>
      </c>
      <c r="D81">
        <f t="shared" si="2"/>
        <v>5</v>
      </c>
      <c r="E81">
        <v>1</v>
      </c>
      <c r="O81" s="75" t="s">
        <v>385</v>
      </c>
      <c r="P81" s="87">
        <v>28110</v>
      </c>
      <c r="Q81" s="87">
        <v>-4695339.8297732128</v>
      </c>
      <c r="R81" s="87">
        <v>-1956391.5957388387</v>
      </c>
    </row>
    <row r="82" spans="3:18" x14ac:dyDescent="0.2">
      <c r="C82">
        <f t="shared" si="1"/>
        <v>2025</v>
      </c>
      <c r="D82">
        <f t="shared" si="2"/>
        <v>6</v>
      </c>
      <c r="E82">
        <f t="shared" ref="E82:E92" si="3">E81+1</f>
        <v>2</v>
      </c>
      <c r="O82" s="75" t="s">
        <v>298</v>
      </c>
      <c r="P82" s="75"/>
      <c r="Q82" s="84">
        <v>1974.0167452499998</v>
      </c>
      <c r="R82" s="88"/>
    </row>
    <row r="83" spans="3:18" x14ac:dyDescent="0.2">
      <c r="C83">
        <f t="shared" si="1"/>
        <v>2026</v>
      </c>
      <c r="D83">
        <f t="shared" si="2"/>
        <v>7</v>
      </c>
      <c r="E83">
        <f t="shared" si="3"/>
        <v>3</v>
      </c>
      <c r="O83" s="75" t="s">
        <v>299</v>
      </c>
      <c r="P83" s="75"/>
      <c r="Q83" s="84">
        <v>2256.019137428571</v>
      </c>
      <c r="R83" s="84">
        <v>4230.0358826785705</v>
      </c>
    </row>
    <row r="84" spans="3:18" x14ac:dyDescent="0.2">
      <c r="C84">
        <f t="shared" si="1"/>
        <v>2027</v>
      </c>
      <c r="D84">
        <f t="shared" si="2"/>
        <v>8</v>
      </c>
      <c r="E84">
        <f t="shared" si="3"/>
        <v>4</v>
      </c>
      <c r="O84" s="75" t="s">
        <v>386</v>
      </c>
      <c r="P84" s="87">
        <v>91680</v>
      </c>
      <c r="Q84" s="87">
        <v>-7733777.8132939702</v>
      </c>
      <c r="R84" s="75"/>
    </row>
    <row r="85" spans="3:18" x14ac:dyDescent="0.2">
      <c r="C85">
        <f t="shared" si="1"/>
        <v>2028</v>
      </c>
      <c r="D85">
        <f t="shared" si="2"/>
        <v>9</v>
      </c>
      <c r="E85">
        <f t="shared" si="3"/>
        <v>5</v>
      </c>
      <c r="O85" s="75" t="s">
        <v>391</v>
      </c>
      <c r="P85" s="75"/>
      <c r="Q85" s="84">
        <v>188.95132698006279</v>
      </c>
      <c r="R85" s="75"/>
    </row>
    <row r="86" spans="3:18" x14ac:dyDescent="0.2">
      <c r="C86">
        <f t="shared" si="1"/>
        <v>2029</v>
      </c>
      <c r="D86">
        <f t="shared" si="2"/>
        <v>10</v>
      </c>
      <c r="E86">
        <f t="shared" si="3"/>
        <v>6</v>
      </c>
      <c r="K86" s="96">
        <v>19342896.582518432</v>
      </c>
      <c r="L86" s="96">
        <f>SUM(G86:K86)</f>
        <v>19342896.582518432</v>
      </c>
      <c r="O86" s="75" t="s">
        <v>301</v>
      </c>
      <c r="P86" s="75"/>
      <c r="Q86" s="89">
        <v>26619827.311490387</v>
      </c>
      <c r="R86" s="75"/>
    </row>
    <row r="87" spans="3:18" x14ac:dyDescent="0.2">
      <c r="C87">
        <f t="shared" si="1"/>
        <v>2030</v>
      </c>
      <c r="D87">
        <f t="shared" si="2"/>
        <v>11</v>
      </c>
      <c r="E87">
        <f t="shared" si="3"/>
        <v>7</v>
      </c>
      <c r="J87" s="96">
        <v>21658122.122184895</v>
      </c>
      <c r="K87" s="96">
        <v>19342896.582518432</v>
      </c>
      <c r="L87" s="96">
        <f t="shared" ref="L87:L116" si="4">SUM(G87:K87)</f>
        <v>41001018.704703331</v>
      </c>
      <c r="O87" s="75" t="s">
        <v>302</v>
      </c>
      <c r="P87" s="75"/>
      <c r="Q87" s="89">
        <v>4230035.8826785702</v>
      </c>
      <c r="R87" s="75"/>
    </row>
    <row r="88" spans="3:18" x14ac:dyDescent="0.2">
      <c r="C88">
        <f t="shared" si="1"/>
        <v>2031</v>
      </c>
      <c r="D88">
        <f t="shared" si="2"/>
        <v>12</v>
      </c>
      <c r="E88">
        <f t="shared" si="3"/>
        <v>8</v>
      </c>
      <c r="J88" s="96">
        <v>21658122.122184895</v>
      </c>
      <c r="K88" s="96">
        <v>19342896.582518432</v>
      </c>
      <c r="L88" s="96">
        <f t="shared" si="4"/>
        <v>41001018.704703331</v>
      </c>
      <c r="O88" s="75" t="s">
        <v>303</v>
      </c>
      <c r="P88" s="75"/>
      <c r="Q88" s="87">
        <v>41646818.282911867</v>
      </c>
      <c r="R88" s="75"/>
    </row>
    <row r="89" spans="3:18" x14ac:dyDescent="0.2">
      <c r="C89">
        <f t="shared" si="1"/>
        <v>2032</v>
      </c>
      <c r="D89">
        <f t="shared" si="2"/>
        <v>13</v>
      </c>
      <c r="E89">
        <f t="shared" si="3"/>
        <v>9</v>
      </c>
      <c r="J89" s="96">
        <v>21658122.122184895</v>
      </c>
      <c r="K89" s="96">
        <v>19342896.582518432</v>
      </c>
      <c r="L89" s="96">
        <f t="shared" si="4"/>
        <v>41001018.704703331</v>
      </c>
      <c r="O89" s="75" t="s">
        <v>304</v>
      </c>
      <c r="P89" s="75"/>
      <c r="Q89" s="90">
        <v>-2864421.6777034048</v>
      </c>
      <c r="R89" s="75"/>
    </row>
    <row r="90" spans="3:18" x14ac:dyDescent="0.2">
      <c r="C90">
        <f t="shared" si="1"/>
        <v>2033</v>
      </c>
      <c r="D90">
        <f t="shared" si="2"/>
        <v>14</v>
      </c>
      <c r="E90">
        <f t="shared" si="3"/>
        <v>10</v>
      </c>
      <c r="G90" s="96">
        <v>28337405.181412797</v>
      </c>
      <c r="J90" s="96">
        <v>21658122.122184895</v>
      </c>
      <c r="K90" s="96">
        <v>19342896.582518432</v>
      </c>
      <c r="L90" s="96">
        <f t="shared" si="4"/>
        <v>69338423.886116117</v>
      </c>
      <c r="O90" s="75" t="s">
        <v>305</v>
      </c>
      <c r="P90" s="75"/>
      <c r="Q90" s="90">
        <v>2864421.6777034048</v>
      </c>
      <c r="R90" s="75"/>
    </row>
    <row r="91" spans="3:18" ht="38.25" x14ac:dyDescent="0.2">
      <c r="C91">
        <f t="shared" si="1"/>
        <v>2034</v>
      </c>
      <c r="D91">
        <f t="shared" si="2"/>
        <v>15</v>
      </c>
      <c r="E91">
        <f t="shared" si="3"/>
        <v>11</v>
      </c>
      <c r="G91" s="96">
        <v>28337405.181412797</v>
      </c>
      <c r="H91" s="96">
        <v>11334804.151225498</v>
      </c>
      <c r="J91" s="96">
        <v>21658122.122184895</v>
      </c>
      <c r="K91" s="96">
        <v>19342896.582518432</v>
      </c>
      <c r="L91" s="96">
        <f t="shared" si="4"/>
        <v>80673228.037341624</v>
      </c>
      <c r="O91" s="75" t="s">
        <v>306</v>
      </c>
      <c r="P91" s="75" t="s">
        <v>53</v>
      </c>
      <c r="Q91" s="76" t="s">
        <v>287</v>
      </c>
      <c r="R91" s="75" t="s">
        <v>244</v>
      </c>
    </row>
    <row r="92" spans="3:18" x14ac:dyDescent="0.2">
      <c r="C92">
        <f t="shared" si="1"/>
        <v>2035</v>
      </c>
      <c r="D92">
        <f t="shared" si="2"/>
        <v>16</v>
      </c>
      <c r="E92">
        <f t="shared" si="3"/>
        <v>12</v>
      </c>
      <c r="F92" t="s">
        <v>262</v>
      </c>
      <c r="G92" s="96">
        <v>28337405.181412797</v>
      </c>
      <c r="H92" s="96">
        <v>11334804.151225498</v>
      </c>
      <c r="J92" s="96">
        <v>21658122.122184895</v>
      </c>
      <c r="K92" s="96">
        <v>19342896.582518432</v>
      </c>
      <c r="L92" s="96">
        <f t="shared" si="4"/>
        <v>80673228.037341624</v>
      </c>
      <c r="O92" s="75" t="s">
        <v>245</v>
      </c>
      <c r="P92" s="84">
        <v>11844.100471499998</v>
      </c>
      <c r="Q92" s="84">
        <v>70</v>
      </c>
      <c r="R92" s="84">
        <v>8290.8703300499983</v>
      </c>
    </row>
    <row r="93" spans="3:18" ht="39" customHeight="1" x14ac:dyDescent="0.2">
      <c r="C93">
        <f t="shared" si="1"/>
        <v>2036</v>
      </c>
      <c r="D93">
        <f t="shared" si="2"/>
        <v>17</v>
      </c>
      <c r="F93" t="s">
        <v>393</v>
      </c>
      <c r="G93" s="96">
        <v>28337405.181412797</v>
      </c>
      <c r="H93" s="96">
        <v>11334804.151225498</v>
      </c>
      <c r="J93" s="96">
        <v>21658122.122184895</v>
      </c>
      <c r="K93" s="96">
        <v>19342896.582518432</v>
      </c>
      <c r="L93" s="96">
        <f t="shared" si="4"/>
        <v>80673228.037341624</v>
      </c>
      <c r="O93" s="76" t="s">
        <v>248</v>
      </c>
      <c r="P93" s="75"/>
      <c r="Q93" s="76" t="s">
        <v>54</v>
      </c>
      <c r="R93" s="91"/>
    </row>
    <row r="94" spans="3:18" x14ac:dyDescent="0.2">
      <c r="C94">
        <f t="shared" si="1"/>
        <v>2037</v>
      </c>
      <c r="D94">
        <f t="shared" si="2"/>
        <v>18</v>
      </c>
      <c r="F94" t="s">
        <v>266</v>
      </c>
      <c r="G94" s="96">
        <v>28337405.181412797</v>
      </c>
      <c r="H94" s="96">
        <v>11334804.151225498</v>
      </c>
      <c r="I94" s="96">
        <v>15989535.636525</v>
      </c>
      <c r="J94" s="96">
        <v>21658122.122184895</v>
      </c>
      <c r="K94" s="96">
        <v>19342896.582518432</v>
      </c>
      <c r="L94" s="96">
        <f t="shared" si="4"/>
        <v>96662763.673866615</v>
      </c>
      <c r="O94" s="75" t="s">
        <v>307</v>
      </c>
      <c r="P94" s="84">
        <v>1776.6150707249999</v>
      </c>
      <c r="Q94" s="87">
        <v>12500</v>
      </c>
      <c r="R94" s="87">
        <v>22207688.384062499</v>
      </c>
    </row>
    <row r="95" spans="3:18" x14ac:dyDescent="0.2">
      <c r="C95">
        <f t="shared" si="1"/>
        <v>2038</v>
      </c>
      <c r="D95">
        <f t="shared" si="2"/>
        <v>19</v>
      </c>
      <c r="G95" s="96">
        <v>28337405.181412797</v>
      </c>
      <c r="H95" s="96">
        <v>11334804.151225498</v>
      </c>
      <c r="I95" s="96">
        <v>15989535.636525</v>
      </c>
      <c r="J95" s="96">
        <v>21658122.122184895</v>
      </c>
      <c r="K95" s="96">
        <v>19342896.582518432</v>
      </c>
      <c r="L95" s="96">
        <f t="shared" si="4"/>
        <v>96662763.673866615</v>
      </c>
      <c r="O95" s="75" t="s">
        <v>309</v>
      </c>
      <c r="P95" s="84">
        <v>987.00837262499988</v>
      </c>
      <c r="Q95" s="87">
        <v>20000</v>
      </c>
      <c r="R95" s="87">
        <v>19740167.452499997</v>
      </c>
    </row>
    <row r="96" spans="3:18" x14ac:dyDescent="0.2">
      <c r="C96">
        <f t="shared" si="1"/>
        <v>2039</v>
      </c>
      <c r="D96">
        <f t="shared" si="2"/>
        <v>20</v>
      </c>
      <c r="G96" s="96">
        <v>28337405.181412797</v>
      </c>
      <c r="H96" s="96">
        <v>11334804.151225498</v>
      </c>
      <c r="I96" s="96">
        <v>15989535.636525</v>
      </c>
      <c r="J96" s="96">
        <v>21658122.122184895</v>
      </c>
      <c r="K96" s="96">
        <v>19342896.582518432</v>
      </c>
      <c r="L96" s="96">
        <f t="shared" si="4"/>
        <v>96662763.673866615</v>
      </c>
      <c r="O96" s="75" t="s">
        <v>308</v>
      </c>
      <c r="P96" s="84">
        <v>592.20502357499993</v>
      </c>
      <c r="Q96" s="87">
        <v>27500</v>
      </c>
      <c r="R96" s="87">
        <v>16285638.148312498</v>
      </c>
    </row>
    <row r="97" spans="3:18" ht="38.25" x14ac:dyDescent="0.2">
      <c r="C97">
        <f t="shared" si="1"/>
        <v>2040</v>
      </c>
      <c r="D97">
        <f t="shared" si="2"/>
        <v>21</v>
      </c>
      <c r="G97" s="96">
        <v>28337405.181412797</v>
      </c>
      <c r="H97" s="96">
        <v>11334804.151225498</v>
      </c>
      <c r="I97" s="96">
        <v>15989535.636525</v>
      </c>
      <c r="J97" s="96">
        <v>21658122.122184895</v>
      </c>
      <c r="K97" s="96">
        <v>19342896.582518432</v>
      </c>
      <c r="L97" s="96">
        <f t="shared" si="4"/>
        <v>96662763.673866615</v>
      </c>
      <c r="O97" s="76" t="s">
        <v>390</v>
      </c>
      <c r="P97" s="75" t="s">
        <v>288</v>
      </c>
      <c r="Q97" s="75" t="s">
        <v>289</v>
      </c>
      <c r="R97" s="75"/>
    </row>
    <row r="98" spans="3:18" x14ac:dyDescent="0.2">
      <c r="C98">
        <f t="shared" si="1"/>
        <v>2041</v>
      </c>
      <c r="G98" s="96">
        <v>28337405.181412797</v>
      </c>
      <c r="H98" s="96">
        <v>11334804.151225498</v>
      </c>
      <c r="I98" s="96">
        <v>15989535.636525</v>
      </c>
      <c r="J98" s="96">
        <v>21658122.122184895</v>
      </c>
      <c r="K98" s="96">
        <v>19342896.582518432</v>
      </c>
      <c r="L98" s="96">
        <f t="shared" si="4"/>
        <v>96662763.673866615</v>
      </c>
      <c r="O98" s="75" t="s">
        <v>310</v>
      </c>
      <c r="P98" s="84">
        <v>78.960669809999985</v>
      </c>
      <c r="Q98" s="84">
        <v>236.88200942999995</v>
      </c>
      <c r="R98" s="75"/>
    </row>
    <row r="99" spans="3:18" x14ac:dyDescent="0.2">
      <c r="C99">
        <f t="shared" si="1"/>
        <v>2042</v>
      </c>
      <c r="G99" s="96">
        <v>28337405.181412797</v>
      </c>
      <c r="H99" s="96">
        <v>11334804.151225498</v>
      </c>
      <c r="I99" s="96">
        <v>15989535.636525</v>
      </c>
      <c r="J99" s="96">
        <v>21658122.122184895</v>
      </c>
      <c r="K99" s="96">
        <v>19342896.582518432</v>
      </c>
      <c r="L99" s="96">
        <f t="shared" si="4"/>
        <v>96662763.673866615</v>
      </c>
      <c r="O99" s="75" t="s">
        <v>384</v>
      </c>
      <c r="P99" s="75"/>
      <c r="Q99" s="87">
        <v>35000000</v>
      </c>
      <c r="R99" s="75"/>
    </row>
    <row r="100" spans="3:18" x14ac:dyDescent="0.2">
      <c r="C100">
        <f t="shared" si="1"/>
        <v>2043</v>
      </c>
      <c r="G100" s="96">
        <v>28337405.181412797</v>
      </c>
      <c r="H100" s="96">
        <v>11334804.151225498</v>
      </c>
      <c r="I100" s="96">
        <v>15989535.636525</v>
      </c>
      <c r="J100" s="96">
        <v>21658122.122184895</v>
      </c>
      <c r="K100" s="96">
        <v>19342896.582518432</v>
      </c>
      <c r="L100" s="96">
        <f t="shared" si="4"/>
        <v>96662763.673866615</v>
      </c>
      <c r="O100" s="75" t="s">
        <v>340</v>
      </c>
      <c r="P100" s="75"/>
      <c r="Q100" s="87">
        <v>28337405.181412797</v>
      </c>
      <c r="R100" s="75"/>
    </row>
    <row r="101" spans="3:18" x14ac:dyDescent="0.2">
      <c r="C101">
        <f t="shared" si="1"/>
        <v>2044</v>
      </c>
      <c r="G101" s="96">
        <v>28337405.181412797</v>
      </c>
      <c r="H101" s="96">
        <v>11334804.151225498</v>
      </c>
      <c r="I101" s="96">
        <v>15989535.636525</v>
      </c>
      <c r="J101" s="96">
        <v>21658122.122184895</v>
      </c>
      <c r="K101" s="96">
        <v>19342896.582518432</v>
      </c>
      <c r="L101" s="96">
        <f t="shared" si="4"/>
        <v>96662763.673866615</v>
      </c>
      <c r="O101" s="75" t="s">
        <v>312</v>
      </c>
      <c r="P101" s="84">
        <v>3948.0334904999995</v>
      </c>
      <c r="Q101" s="87">
        <v>12500</v>
      </c>
      <c r="R101" s="87">
        <v>49350418.631249994</v>
      </c>
    </row>
    <row r="102" spans="3:18" x14ac:dyDescent="0.2">
      <c r="C102">
        <f t="shared" si="1"/>
        <v>2045</v>
      </c>
      <c r="G102" s="96">
        <v>28337405.181412797</v>
      </c>
      <c r="H102" s="96">
        <v>11334804.151225498</v>
      </c>
      <c r="I102" s="96">
        <v>15989535.636525</v>
      </c>
      <c r="J102" s="96">
        <v>21658122.122184895</v>
      </c>
      <c r="K102" s="96">
        <v>19342896.582518432</v>
      </c>
      <c r="L102" s="96">
        <f t="shared" si="4"/>
        <v>96662763.673866615</v>
      </c>
      <c r="O102" s="75" t="s">
        <v>339</v>
      </c>
      <c r="P102" s="75">
        <v>20</v>
      </c>
      <c r="Q102" s="87">
        <v>2266960.8302450995</v>
      </c>
      <c r="R102" s="75"/>
    </row>
    <row r="103" spans="3:18" x14ac:dyDescent="0.2">
      <c r="C103">
        <f t="shared" si="1"/>
        <v>2046</v>
      </c>
      <c r="G103" s="96">
        <v>28337405.181412797</v>
      </c>
      <c r="H103" s="96">
        <v>11334804.151225498</v>
      </c>
      <c r="I103" s="96">
        <v>15989535.636525</v>
      </c>
      <c r="J103" s="96">
        <v>21658122.122184895</v>
      </c>
      <c r="K103" s="96">
        <v>19342896.582518432</v>
      </c>
      <c r="L103" s="96">
        <f t="shared" si="4"/>
        <v>96662763.673866615</v>
      </c>
      <c r="O103" s="75" t="s">
        <v>343</v>
      </c>
      <c r="P103" s="75">
        <v>80</v>
      </c>
      <c r="Q103" s="87">
        <v>9067843.320980398</v>
      </c>
      <c r="R103" s="75"/>
    </row>
    <row r="104" spans="3:18" x14ac:dyDescent="0.2">
      <c r="C104">
        <f t="shared" si="1"/>
        <v>2047</v>
      </c>
      <c r="G104" s="96">
        <v>28337405.181412797</v>
      </c>
      <c r="H104" s="96">
        <v>11334804.151225498</v>
      </c>
      <c r="I104" s="96">
        <v>15989535.636525</v>
      </c>
      <c r="J104" s="96">
        <v>21658122.122184895</v>
      </c>
      <c r="K104" s="96">
        <v>19342896.582518432</v>
      </c>
      <c r="L104" s="96">
        <f t="shared" si="4"/>
        <v>96662763.673866615</v>
      </c>
      <c r="O104" s="75" t="s">
        <v>389</v>
      </c>
      <c r="P104" s="75"/>
      <c r="Q104" s="84">
        <v>789.6066980999999</v>
      </c>
      <c r="R104" s="75"/>
    </row>
    <row r="105" spans="3:18" x14ac:dyDescent="0.2">
      <c r="C105">
        <f t="shared" si="1"/>
        <v>2048</v>
      </c>
      <c r="G105" s="96">
        <v>28337405.181412797</v>
      </c>
      <c r="H105" s="96">
        <v>11334804.151225498</v>
      </c>
      <c r="I105" s="96">
        <v>15989535.636525</v>
      </c>
      <c r="J105" s="96">
        <v>21658122.122184895</v>
      </c>
      <c r="K105" s="96">
        <v>19342896.582518432</v>
      </c>
      <c r="L105" s="96">
        <f t="shared" si="4"/>
        <v>96662763.673866615</v>
      </c>
      <c r="O105" s="75" t="s">
        <v>314</v>
      </c>
      <c r="P105" s="84">
        <v>710.64602829</v>
      </c>
      <c r="Q105" s="87">
        <v>22000</v>
      </c>
      <c r="R105" s="87">
        <v>15634212.62238</v>
      </c>
    </row>
    <row r="106" spans="3:18" x14ac:dyDescent="0.2">
      <c r="C106">
        <f t="shared" si="1"/>
        <v>2049</v>
      </c>
      <c r="G106" s="96">
        <v>28337405.181412797</v>
      </c>
      <c r="H106" s="96">
        <v>11334804.151225498</v>
      </c>
      <c r="I106" s="96">
        <v>15989535.636525</v>
      </c>
      <c r="J106" s="96">
        <v>21658122.122184895</v>
      </c>
      <c r="K106" s="96">
        <v>19342896.582518432</v>
      </c>
      <c r="L106" s="96">
        <f t="shared" si="4"/>
        <v>96662763.673866615</v>
      </c>
      <c r="O106" s="75" t="s">
        <v>315</v>
      </c>
      <c r="P106" s="75"/>
      <c r="Q106" s="87">
        <v>15989535.636525</v>
      </c>
      <c r="R106" s="75"/>
    </row>
    <row r="107" spans="3:18" x14ac:dyDescent="0.2">
      <c r="C107">
        <f t="shared" si="1"/>
        <v>2050</v>
      </c>
      <c r="G107" s="96">
        <v>28337405.181412797</v>
      </c>
      <c r="H107" s="96">
        <v>11334804.151225498</v>
      </c>
      <c r="I107" s="96">
        <v>15989535.636525</v>
      </c>
      <c r="J107" s="96">
        <v>21658122.122184895</v>
      </c>
      <c r="K107" s="96">
        <v>19342896.582518432</v>
      </c>
      <c r="L107" s="96">
        <f t="shared" si="4"/>
        <v>96662763.673866615</v>
      </c>
      <c r="O107" s="75" t="s">
        <v>316</v>
      </c>
      <c r="P107" s="84">
        <v>5922.05023575</v>
      </c>
      <c r="Q107" s="87">
        <v>12500</v>
      </c>
      <c r="R107" s="87">
        <v>74025627.946875006</v>
      </c>
    </row>
    <row r="108" spans="3:18" x14ac:dyDescent="0.2">
      <c r="C108">
        <f t="shared" si="1"/>
        <v>2051</v>
      </c>
      <c r="G108" s="96">
        <v>28337405.181412797</v>
      </c>
      <c r="H108" s="96">
        <v>11334804.151225498</v>
      </c>
      <c r="I108" s="96">
        <v>15989535.636525</v>
      </c>
      <c r="J108" s="96">
        <v>21658122.122184895</v>
      </c>
      <c r="K108" s="96">
        <v>19342896.582518432</v>
      </c>
      <c r="L108" s="96">
        <f t="shared" si="4"/>
        <v>96662763.673866615</v>
      </c>
      <c r="O108" s="75" t="s">
        <v>375</v>
      </c>
      <c r="P108" s="75"/>
      <c r="Q108" s="87">
        <v>21658122.122184895</v>
      </c>
      <c r="R108" s="75"/>
    </row>
    <row r="109" spans="3:18" x14ac:dyDescent="0.2">
      <c r="C109">
        <f t="shared" si="1"/>
        <v>2052</v>
      </c>
      <c r="G109" s="96">
        <v>28337405.181412797</v>
      </c>
      <c r="H109" s="96">
        <v>11334804.151225498</v>
      </c>
      <c r="I109" s="96">
        <v>15989535.636525</v>
      </c>
      <c r="J109" s="96">
        <v>21658122.122184895</v>
      </c>
      <c r="K109" s="96">
        <v>19342896.582518432</v>
      </c>
      <c r="L109" s="96">
        <f t="shared" si="4"/>
        <v>96662763.673866615</v>
      </c>
      <c r="O109" s="75" t="s">
        <v>341</v>
      </c>
      <c r="P109" s="84">
        <v>2368.8200942999997</v>
      </c>
      <c r="Q109" s="87">
        <v>12500</v>
      </c>
      <c r="R109" s="87">
        <v>29610251.178749997</v>
      </c>
    </row>
    <row r="110" spans="3:18" x14ac:dyDescent="0.2">
      <c r="C110">
        <f t="shared" si="1"/>
        <v>2053</v>
      </c>
      <c r="G110" s="96">
        <v>28337405.181412797</v>
      </c>
      <c r="H110" s="96">
        <v>11334804.151225498</v>
      </c>
      <c r="I110" s="96">
        <v>15989535.636525</v>
      </c>
      <c r="J110" s="96">
        <v>21658122.122184895</v>
      </c>
      <c r="K110" s="96">
        <v>19342896.582518432</v>
      </c>
      <c r="L110" s="96">
        <f t="shared" si="4"/>
        <v>96662763.673866615</v>
      </c>
      <c r="O110" s="75" t="s">
        <v>317</v>
      </c>
      <c r="P110" s="75"/>
      <c r="Q110" s="87">
        <v>19342896.582518432</v>
      </c>
      <c r="R110" s="75"/>
    </row>
    <row r="111" spans="3:18" x14ac:dyDescent="0.2">
      <c r="C111">
        <f t="shared" si="1"/>
        <v>2054</v>
      </c>
      <c r="G111" s="96">
        <v>28337405.181412797</v>
      </c>
      <c r="H111" s="96">
        <v>11334804.151225498</v>
      </c>
      <c r="I111" s="96">
        <v>15989535.636525</v>
      </c>
      <c r="J111" s="96">
        <v>21658122.122184895</v>
      </c>
      <c r="K111" s="96">
        <v>19342896.582518432</v>
      </c>
      <c r="L111" s="96">
        <f t="shared" si="4"/>
        <v>96662763.673866615</v>
      </c>
      <c r="O111" s="75" t="s">
        <v>387</v>
      </c>
      <c r="P111" s="84">
        <v>5290.3648772699989</v>
      </c>
      <c r="Q111" s="87">
        <v>12500</v>
      </c>
      <c r="R111" s="87">
        <v>66129560.965874985</v>
      </c>
    </row>
    <row r="112" spans="3:18" x14ac:dyDescent="0.2">
      <c r="C112">
        <f t="shared" si="1"/>
        <v>2055</v>
      </c>
      <c r="G112" s="96">
        <v>28337405.181412797</v>
      </c>
      <c r="H112" s="96">
        <v>11334804.151225498</v>
      </c>
      <c r="I112" s="96">
        <v>15989535.636525</v>
      </c>
      <c r="J112" s="96">
        <v>21658122.122184895</v>
      </c>
      <c r="K112" s="96">
        <v>19342896.582518432</v>
      </c>
      <c r="L112" s="96">
        <f t="shared" si="4"/>
        <v>96662763.673866615</v>
      </c>
      <c r="O112" s="75" t="s">
        <v>388</v>
      </c>
      <c r="P112" s="75"/>
      <c r="Q112" s="75">
        <v>2</v>
      </c>
      <c r="R112" s="75"/>
    </row>
    <row r="113" spans="3:12" x14ac:dyDescent="0.2">
      <c r="C113">
        <f t="shared" si="1"/>
        <v>2056</v>
      </c>
      <c r="G113" s="96">
        <v>28337405.181412797</v>
      </c>
      <c r="H113" s="96">
        <v>11334804.151225498</v>
      </c>
      <c r="I113" s="96">
        <v>15989535.636525</v>
      </c>
      <c r="J113" s="96">
        <v>21658122.122184895</v>
      </c>
      <c r="K113" s="96">
        <v>19342896.582518432</v>
      </c>
      <c r="L113" s="96">
        <f t="shared" si="4"/>
        <v>96662763.673866615</v>
      </c>
    </row>
    <row r="114" spans="3:12" x14ac:dyDescent="0.2">
      <c r="C114">
        <f t="shared" si="1"/>
        <v>2057</v>
      </c>
      <c r="G114" s="96">
        <v>28337405.181412797</v>
      </c>
      <c r="H114" s="96">
        <v>11334804.151225498</v>
      </c>
      <c r="I114" s="96">
        <v>15989535.636525</v>
      </c>
      <c r="J114" s="96">
        <v>21658122.122184895</v>
      </c>
      <c r="K114" s="96">
        <v>19342896.582518432</v>
      </c>
      <c r="L114" s="96">
        <f t="shared" si="4"/>
        <v>96662763.673866615</v>
      </c>
    </row>
    <row r="115" spans="3:12" x14ac:dyDescent="0.2">
      <c r="C115">
        <f t="shared" si="1"/>
        <v>2058</v>
      </c>
      <c r="G115" s="96">
        <v>28337405.181412797</v>
      </c>
      <c r="H115" s="96">
        <v>11334804.151225498</v>
      </c>
      <c r="I115" s="96">
        <v>15989535.636525</v>
      </c>
      <c r="J115" s="96">
        <v>21658122.122184895</v>
      </c>
      <c r="K115" s="96">
        <v>19342896.582518432</v>
      </c>
      <c r="L115" s="96">
        <f t="shared" si="4"/>
        <v>96662763.673866615</v>
      </c>
    </row>
    <row r="116" spans="3:12" x14ac:dyDescent="0.2">
      <c r="C116">
        <f t="shared" si="1"/>
        <v>2059</v>
      </c>
      <c r="G116" s="96">
        <v>28337405.181412797</v>
      </c>
      <c r="H116" s="96">
        <v>11334804.151225498</v>
      </c>
      <c r="I116" s="96">
        <v>15989535.636525</v>
      </c>
      <c r="J116" s="96">
        <v>21658122.122184895</v>
      </c>
      <c r="K116" s="96">
        <v>19342896.582518432</v>
      </c>
      <c r="L116" s="96">
        <f t="shared" si="4"/>
        <v>96662763.673866615</v>
      </c>
    </row>
    <row r="117" spans="3:12" x14ac:dyDescent="0.2">
      <c r="C117">
        <f t="shared" si="1"/>
        <v>2060</v>
      </c>
      <c r="G117" s="96">
        <v>28337405.181412797</v>
      </c>
      <c r="H117" s="96">
        <v>11334804.151225498</v>
      </c>
      <c r="I117" s="96">
        <v>15989535.636525</v>
      </c>
      <c r="J117" s="96">
        <v>21658122.122184895</v>
      </c>
      <c r="K117" s="96">
        <v>19342896.582518432</v>
      </c>
      <c r="L117" s="96">
        <f t="shared" ref="L117" si="5">SUM(G117:K117)</f>
        <v>96662763.673866615</v>
      </c>
    </row>
  </sheetData>
  <pageMargins left="0" right="0" top="0" bottom="0" header="0.3" footer="0.3"/>
  <pageSetup paperSize="5" scale="59" fitToHeight="0" orientation="landscape" r:id="rId1"/>
  <ignoredErrors>
    <ignoredError sqref="R5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49"/>
  <sheetViews>
    <sheetView workbookViewId="0">
      <selection activeCell="L57" sqref="L57"/>
    </sheetView>
  </sheetViews>
  <sheetFormatPr defaultRowHeight="12.75" x14ac:dyDescent="0.2"/>
  <cols>
    <col min="1" max="1" width="3.28515625" customWidth="1"/>
    <col min="4" max="4" width="10.28515625" customWidth="1"/>
    <col min="5" max="5" width="12.28515625" customWidth="1"/>
    <col min="6" max="6" width="12.85546875" customWidth="1"/>
    <col min="7" max="7" width="11.42578125" customWidth="1"/>
    <col min="8" max="8" width="14.28515625" customWidth="1"/>
    <col min="9" max="10" width="14.5703125" customWidth="1"/>
    <col min="11" max="12" width="13.140625" customWidth="1"/>
    <col min="15" max="16" width="11.5703125" customWidth="1"/>
    <col min="17" max="17" width="12.5703125" customWidth="1"/>
    <col min="18" max="18" width="12.42578125" customWidth="1"/>
    <col min="19" max="19" width="10.140625" customWidth="1"/>
    <col min="20" max="20" width="13.7109375" customWidth="1"/>
    <col min="21" max="21" width="12.7109375" customWidth="1"/>
    <col min="22" max="22" width="13.140625" customWidth="1"/>
  </cols>
  <sheetData>
    <row r="3" spans="3:14" ht="15.75" x14ac:dyDescent="0.25">
      <c r="C3" s="74" t="s">
        <v>396</v>
      </c>
      <c r="D3" s="75"/>
      <c r="E3" s="75"/>
      <c r="F3" s="80"/>
      <c r="G3" s="81"/>
    </row>
    <row r="4" spans="3:14" ht="90" customHeight="1" x14ac:dyDescent="0.2">
      <c r="C4" s="76"/>
      <c r="D4" s="82" t="s">
        <v>395</v>
      </c>
      <c r="E4" s="82" t="s">
        <v>394</v>
      </c>
      <c r="F4" s="82" t="s">
        <v>399</v>
      </c>
      <c r="G4" s="82" t="s">
        <v>400</v>
      </c>
    </row>
    <row r="5" spans="3:14" ht="9.75" customHeight="1" x14ac:dyDescent="0.2">
      <c r="C5" s="83"/>
      <c r="D5" s="83"/>
      <c r="E5" s="83"/>
      <c r="F5" s="83"/>
      <c r="G5" s="83"/>
      <c r="L5" t="s">
        <v>430</v>
      </c>
    </row>
    <row r="6" spans="3:14" ht="51" x14ac:dyDescent="0.2">
      <c r="C6" s="77" t="s">
        <v>325</v>
      </c>
      <c r="D6" s="76" t="s">
        <v>352</v>
      </c>
      <c r="E6" s="76" t="s">
        <v>352</v>
      </c>
      <c r="F6" s="76" t="s">
        <v>352</v>
      </c>
      <c r="G6" s="76" t="s">
        <v>352</v>
      </c>
      <c r="K6" t="s">
        <v>429</v>
      </c>
      <c r="L6">
        <v>1.02</v>
      </c>
      <c r="M6" s="56" t="s">
        <v>427</v>
      </c>
      <c r="N6" t="s">
        <v>428</v>
      </c>
    </row>
    <row r="7" spans="3:14" x14ac:dyDescent="0.2">
      <c r="C7" s="78">
        <v>2018</v>
      </c>
      <c r="D7" s="94">
        <v>93.46</v>
      </c>
      <c r="E7" s="94">
        <v>0</v>
      </c>
      <c r="F7" s="94">
        <v>0</v>
      </c>
      <c r="G7" s="94">
        <f>D7-E7-F7</f>
        <v>93.46</v>
      </c>
      <c r="K7" s="73">
        <f>G7</f>
        <v>93.46</v>
      </c>
      <c r="L7" s="55">
        <v>0</v>
      </c>
      <c r="M7" s="8">
        <f>$L$6^(L7)</f>
        <v>1</v>
      </c>
      <c r="N7" s="97">
        <f>K7/M7</f>
        <v>93.46</v>
      </c>
    </row>
    <row r="8" spans="3:14" x14ac:dyDescent="0.2">
      <c r="C8" s="78">
        <v>2019</v>
      </c>
      <c r="D8" s="94">
        <v>150.41999999999999</v>
      </c>
      <c r="E8" s="94">
        <v>35</v>
      </c>
      <c r="F8" s="94">
        <v>0</v>
      </c>
      <c r="G8" s="94">
        <f t="shared" ref="G8:G49" si="0">D8-E8-F8</f>
        <v>115.41999999999999</v>
      </c>
      <c r="K8" s="73">
        <f t="shared" ref="K8:K49" si="1">G8</f>
        <v>115.41999999999999</v>
      </c>
      <c r="L8" s="55">
        <f>L7+1</f>
        <v>1</v>
      </c>
      <c r="M8" s="8">
        <f t="shared" ref="M8:M49" si="2">$L$6^(L8)</f>
        <v>1.02</v>
      </c>
      <c r="N8" s="97">
        <f t="shared" ref="N8:N49" si="3">K8/M8</f>
        <v>113.15686274509802</v>
      </c>
    </row>
    <row r="9" spans="3:14" x14ac:dyDescent="0.2">
      <c r="C9" s="78">
        <v>2020</v>
      </c>
      <c r="D9" s="94">
        <v>150.41999999999999</v>
      </c>
      <c r="E9" s="94">
        <v>35</v>
      </c>
      <c r="F9" s="94">
        <v>0</v>
      </c>
      <c r="G9" s="94">
        <f t="shared" si="0"/>
        <v>115.41999999999999</v>
      </c>
      <c r="K9" s="73">
        <f t="shared" si="1"/>
        <v>115.41999999999999</v>
      </c>
      <c r="L9" s="55">
        <f t="shared" ref="L9:L49" si="4">L8+1</f>
        <v>2</v>
      </c>
      <c r="M9" s="8">
        <f t="shared" si="2"/>
        <v>1.0404</v>
      </c>
      <c r="N9" s="97">
        <f t="shared" si="3"/>
        <v>110.93810073048826</v>
      </c>
    </row>
    <row r="10" spans="3:14" x14ac:dyDescent="0.2">
      <c r="C10" s="78">
        <v>2021</v>
      </c>
      <c r="D10" s="94">
        <v>150.41999999999999</v>
      </c>
      <c r="E10" s="94">
        <v>35</v>
      </c>
      <c r="F10" s="94">
        <v>0</v>
      </c>
      <c r="G10" s="94">
        <f t="shared" si="0"/>
        <v>115.41999999999999</v>
      </c>
      <c r="K10" s="73">
        <f t="shared" si="1"/>
        <v>115.41999999999999</v>
      </c>
      <c r="L10" s="55">
        <f t="shared" si="4"/>
        <v>3</v>
      </c>
      <c r="M10" s="8">
        <f t="shared" si="2"/>
        <v>1.0612079999999999</v>
      </c>
      <c r="N10" s="97">
        <f t="shared" si="3"/>
        <v>108.76284385341987</v>
      </c>
    </row>
    <row r="11" spans="3:14" x14ac:dyDescent="0.2">
      <c r="C11" s="78">
        <v>2022</v>
      </c>
      <c r="D11" s="94">
        <v>150.41999999999999</v>
      </c>
      <c r="E11" s="94">
        <v>35</v>
      </c>
      <c r="F11" s="94">
        <v>0</v>
      </c>
      <c r="G11" s="94">
        <f t="shared" si="0"/>
        <v>115.41999999999999</v>
      </c>
      <c r="K11" s="73">
        <f t="shared" si="1"/>
        <v>115.41999999999999</v>
      </c>
      <c r="L11" s="55">
        <f t="shared" si="4"/>
        <v>4</v>
      </c>
      <c r="M11" s="8">
        <f t="shared" si="2"/>
        <v>1.08243216</v>
      </c>
      <c r="N11" s="97">
        <f t="shared" si="3"/>
        <v>106.63023907198026</v>
      </c>
    </row>
    <row r="12" spans="3:14" x14ac:dyDescent="0.2">
      <c r="C12" s="78">
        <v>2023</v>
      </c>
      <c r="D12" s="94">
        <v>150.41999999999999</v>
      </c>
      <c r="E12" s="94">
        <v>35</v>
      </c>
      <c r="F12" s="94">
        <v>0</v>
      </c>
      <c r="G12" s="94">
        <f t="shared" si="0"/>
        <v>115.41999999999999</v>
      </c>
      <c r="K12" s="73">
        <f t="shared" si="1"/>
        <v>115.41999999999999</v>
      </c>
      <c r="L12" s="55">
        <f t="shared" si="4"/>
        <v>5</v>
      </c>
      <c r="M12" s="8">
        <f t="shared" si="2"/>
        <v>1.1040808032</v>
      </c>
      <c r="N12" s="97">
        <f t="shared" si="3"/>
        <v>104.53945007056888</v>
      </c>
    </row>
    <row r="13" spans="3:14" x14ac:dyDescent="0.2">
      <c r="C13" s="78">
        <v>2024</v>
      </c>
      <c r="D13" s="94">
        <v>150.41999999999999</v>
      </c>
      <c r="E13" s="94">
        <v>35</v>
      </c>
      <c r="F13" s="94">
        <v>0</v>
      </c>
      <c r="G13" s="94">
        <f t="shared" si="0"/>
        <v>115.41999999999999</v>
      </c>
      <c r="K13" s="73">
        <f t="shared" si="1"/>
        <v>115.41999999999999</v>
      </c>
      <c r="L13" s="55">
        <f t="shared" si="4"/>
        <v>6</v>
      </c>
      <c r="M13" s="8">
        <f t="shared" si="2"/>
        <v>1.1261624192640001</v>
      </c>
      <c r="N13" s="97">
        <f t="shared" si="3"/>
        <v>102.48965693193027</v>
      </c>
    </row>
    <row r="14" spans="3:14" x14ac:dyDescent="0.2">
      <c r="C14" s="78">
        <v>2025</v>
      </c>
      <c r="D14" s="94">
        <v>150.41999999999999</v>
      </c>
      <c r="E14" s="94">
        <v>35</v>
      </c>
      <c r="F14" s="94">
        <v>0</v>
      </c>
      <c r="G14" s="94">
        <f t="shared" si="0"/>
        <v>115.41999999999999</v>
      </c>
      <c r="K14" s="73">
        <f t="shared" si="1"/>
        <v>115.41999999999999</v>
      </c>
      <c r="L14" s="55">
        <f t="shared" si="4"/>
        <v>7</v>
      </c>
      <c r="M14" s="8">
        <f t="shared" si="2"/>
        <v>1.1486856676492798</v>
      </c>
      <c r="N14" s="97">
        <f t="shared" si="3"/>
        <v>100.48005581561793</v>
      </c>
    </row>
    <row r="15" spans="3:14" x14ac:dyDescent="0.2">
      <c r="C15" s="78">
        <v>2026</v>
      </c>
      <c r="D15" s="94">
        <v>150.41999999999999</v>
      </c>
      <c r="E15" s="94">
        <v>35</v>
      </c>
      <c r="F15" s="94">
        <v>0</v>
      </c>
      <c r="G15" s="94">
        <f t="shared" si="0"/>
        <v>115.41999999999999</v>
      </c>
      <c r="K15" s="73">
        <f t="shared" si="1"/>
        <v>115.41999999999999</v>
      </c>
      <c r="L15" s="55">
        <f t="shared" si="4"/>
        <v>8</v>
      </c>
      <c r="M15" s="8">
        <f t="shared" si="2"/>
        <v>1.1716593810022655</v>
      </c>
      <c r="N15" s="97">
        <f t="shared" si="3"/>
        <v>98.509858642762666</v>
      </c>
    </row>
    <row r="16" spans="3:14" x14ac:dyDescent="0.2">
      <c r="C16" s="78">
        <v>2027</v>
      </c>
      <c r="D16" s="94">
        <v>150.41999999999999</v>
      </c>
      <c r="E16" s="94">
        <v>35</v>
      </c>
      <c r="F16" s="94">
        <v>0</v>
      </c>
      <c r="G16" s="94">
        <f t="shared" si="0"/>
        <v>115.41999999999999</v>
      </c>
      <c r="K16" s="73">
        <f t="shared" si="1"/>
        <v>115.41999999999999</v>
      </c>
      <c r="L16" s="55">
        <f t="shared" si="4"/>
        <v>9</v>
      </c>
      <c r="M16" s="8">
        <f t="shared" si="2"/>
        <v>1.1950925686223108</v>
      </c>
      <c r="N16" s="97">
        <f t="shared" si="3"/>
        <v>96.578292787022221</v>
      </c>
    </row>
    <row r="17" spans="3:14" x14ac:dyDescent="0.2">
      <c r="C17" s="78">
        <v>2028</v>
      </c>
      <c r="D17" s="94">
        <v>150.41999999999999</v>
      </c>
      <c r="E17" s="94">
        <v>35</v>
      </c>
      <c r="F17" s="94">
        <v>0</v>
      </c>
      <c r="G17" s="94">
        <f t="shared" si="0"/>
        <v>115.41999999999999</v>
      </c>
      <c r="K17" s="73">
        <f t="shared" si="1"/>
        <v>115.41999999999999</v>
      </c>
      <c r="L17" s="55">
        <f t="shared" si="4"/>
        <v>10</v>
      </c>
      <c r="M17" s="8">
        <f t="shared" si="2"/>
        <v>1.2189944199947571</v>
      </c>
      <c r="N17" s="97">
        <f t="shared" si="3"/>
        <v>94.684600771590411</v>
      </c>
    </row>
    <row r="18" spans="3:14" x14ac:dyDescent="0.2">
      <c r="C18" s="78">
        <v>2029</v>
      </c>
      <c r="D18" s="94">
        <v>150.41999999999999</v>
      </c>
      <c r="E18" s="94">
        <v>35</v>
      </c>
      <c r="F18" s="94">
        <v>19.342896582518431</v>
      </c>
      <c r="G18" s="94">
        <f t="shared" si="0"/>
        <v>96.077103417481553</v>
      </c>
      <c r="I18" s="96"/>
      <c r="J18" s="97"/>
      <c r="K18" s="73">
        <f t="shared" si="1"/>
        <v>96.077103417481553</v>
      </c>
      <c r="L18" s="55">
        <f t="shared" si="4"/>
        <v>11</v>
      </c>
      <c r="M18" s="8">
        <f t="shared" si="2"/>
        <v>1.243374308394652</v>
      </c>
      <c r="N18" s="97">
        <f t="shared" si="3"/>
        <v>77.271263181823997</v>
      </c>
    </row>
    <row r="19" spans="3:14" x14ac:dyDescent="0.2">
      <c r="C19" s="78">
        <v>2030</v>
      </c>
      <c r="D19" s="94">
        <v>150.41999999999999</v>
      </c>
      <c r="E19" s="94">
        <v>35</v>
      </c>
      <c r="F19" s="94">
        <v>41.001018704703334</v>
      </c>
      <c r="G19" s="94">
        <f t="shared" si="0"/>
        <v>74.418981295296646</v>
      </c>
      <c r="I19" s="96"/>
      <c r="J19" s="97"/>
      <c r="K19" s="73">
        <f t="shared" si="1"/>
        <v>74.418981295296646</v>
      </c>
      <c r="L19" s="55">
        <f t="shared" si="4"/>
        <v>12</v>
      </c>
      <c r="M19" s="8">
        <f t="shared" si="2"/>
        <v>1.2682417945625453</v>
      </c>
      <c r="N19" s="97">
        <f t="shared" si="3"/>
        <v>58.678858885080338</v>
      </c>
    </row>
    <row r="20" spans="3:14" x14ac:dyDescent="0.2">
      <c r="C20" s="78">
        <v>2031</v>
      </c>
      <c r="D20" s="94">
        <v>150.41999999999999</v>
      </c>
      <c r="E20" s="94">
        <v>35</v>
      </c>
      <c r="F20" s="94">
        <v>41.001018704703334</v>
      </c>
      <c r="G20" s="94">
        <f t="shared" si="0"/>
        <v>74.418981295296646</v>
      </c>
      <c r="I20" s="96"/>
      <c r="J20" s="97"/>
      <c r="K20" s="73">
        <f t="shared" si="1"/>
        <v>74.418981295296646</v>
      </c>
      <c r="L20" s="55">
        <f t="shared" si="4"/>
        <v>13</v>
      </c>
      <c r="M20" s="8">
        <f t="shared" si="2"/>
        <v>1.2936066304537961</v>
      </c>
      <c r="N20" s="97">
        <f t="shared" si="3"/>
        <v>57.528293024588571</v>
      </c>
    </row>
    <row r="21" spans="3:14" x14ac:dyDescent="0.2">
      <c r="C21" s="78">
        <v>2032</v>
      </c>
      <c r="D21" s="94">
        <v>150.41999999999999</v>
      </c>
      <c r="E21" s="94">
        <v>35</v>
      </c>
      <c r="F21" s="94">
        <v>41.001018704703334</v>
      </c>
      <c r="G21" s="94">
        <f t="shared" si="0"/>
        <v>74.418981295296646</v>
      </c>
      <c r="I21" s="96"/>
      <c r="J21" s="97"/>
      <c r="K21" s="73">
        <f t="shared" si="1"/>
        <v>74.418981295296646</v>
      </c>
      <c r="L21" s="55">
        <f t="shared" si="4"/>
        <v>14</v>
      </c>
      <c r="M21" s="8">
        <f t="shared" si="2"/>
        <v>1.3194787630628722</v>
      </c>
      <c r="N21" s="97">
        <f t="shared" si="3"/>
        <v>56.400287279008403</v>
      </c>
    </row>
    <row r="22" spans="3:14" x14ac:dyDescent="0.2">
      <c r="C22" s="78">
        <v>2033</v>
      </c>
      <c r="D22" s="94">
        <v>150.41999999999999</v>
      </c>
      <c r="E22" s="94">
        <v>35</v>
      </c>
      <c r="F22" s="94">
        <v>69.338423886116118</v>
      </c>
      <c r="G22" s="94">
        <f t="shared" si="0"/>
        <v>46.08157611388387</v>
      </c>
      <c r="I22" s="96"/>
      <c r="J22" s="97"/>
      <c r="K22" s="73">
        <f t="shared" si="1"/>
        <v>46.08157611388387</v>
      </c>
      <c r="L22" s="55">
        <f t="shared" si="4"/>
        <v>15</v>
      </c>
      <c r="M22" s="8">
        <f t="shared" si="2"/>
        <v>1.3458683383241292</v>
      </c>
      <c r="N22" s="97">
        <f t="shared" si="3"/>
        <v>34.23928983370282</v>
      </c>
    </row>
    <row r="23" spans="3:14" x14ac:dyDescent="0.2">
      <c r="C23" s="78">
        <v>2034</v>
      </c>
      <c r="D23" s="94">
        <v>150.41999999999999</v>
      </c>
      <c r="E23" s="94">
        <v>35</v>
      </c>
      <c r="F23" s="94">
        <v>80.67322803734163</v>
      </c>
      <c r="G23" s="94">
        <f t="shared" si="0"/>
        <v>34.746771962658357</v>
      </c>
      <c r="I23" s="96"/>
      <c r="J23" s="97"/>
      <c r="K23" s="73">
        <f t="shared" si="1"/>
        <v>34.746771962658357</v>
      </c>
      <c r="L23" s="55">
        <f t="shared" si="4"/>
        <v>16</v>
      </c>
      <c r="M23" s="8">
        <f t="shared" si="2"/>
        <v>1.372785705090612</v>
      </c>
      <c r="N23" s="97">
        <f t="shared" si="3"/>
        <v>25.311140576281616</v>
      </c>
    </row>
    <row r="24" spans="3:14" x14ac:dyDescent="0.2">
      <c r="C24" s="78">
        <v>2035</v>
      </c>
      <c r="D24" s="94">
        <v>150.41999999999999</v>
      </c>
      <c r="E24" s="94">
        <v>35</v>
      </c>
      <c r="F24" s="94">
        <v>80.67322803734163</v>
      </c>
      <c r="G24" s="94">
        <f t="shared" si="0"/>
        <v>34.746771962658357</v>
      </c>
      <c r="I24" s="96"/>
      <c r="J24" s="97"/>
      <c r="K24" s="73">
        <f t="shared" si="1"/>
        <v>34.746771962658357</v>
      </c>
      <c r="L24" s="55">
        <f t="shared" si="4"/>
        <v>17</v>
      </c>
      <c r="M24" s="8">
        <f t="shared" si="2"/>
        <v>1.4002414191924244</v>
      </c>
      <c r="N24" s="97">
        <f t="shared" si="3"/>
        <v>24.814843702236875</v>
      </c>
    </row>
    <row r="25" spans="3:14" x14ac:dyDescent="0.2">
      <c r="C25" s="78">
        <v>2036</v>
      </c>
      <c r="D25" s="94">
        <v>150.41999999999999</v>
      </c>
      <c r="E25" s="94">
        <v>35</v>
      </c>
      <c r="F25" s="94">
        <v>80.67322803734163</v>
      </c>
      <c r="G25" s="94">
        <f t="shared" si="0"/>
        <v>34.746771962658357</v>
      </c>
      <c r="I25" s="96"/>
      <c r="J25" s="97"/>
      <c r="K25" s="73">
        <f t="shared" si="1"/>
        <v>34.746771962658357</v>
      </c>
      <c r="L25" s="55">
        <f t="shared" si="4"/>
        <v>18</v>
      </c>
      <c r="M25" s="8">
        <f t="shared" si="2"/>
        <v>1.4282462475762727</v>
      </c>
      <c r="N25" s="97">
        <f t="shared" si="3"/>
        <v>24.328278139447921</v>
      </c>
    </row>
    <row r="26" spans="3:14" x14ac:dyDescent="0.2">
      <c r="C26" s="78">
        <v>2037</v>
      </c>
      <c r="D26" s="94">
        <v>150.41999999999999</v>
      </c>
      <c r="E26" s="94">
        <v>35</v>
      </c>
      <c r="F26" s="94">
        <v>96.662763673866621</v>
      </c>
      <c r="G26" s="94">
        <f t="shared" si="0"/>
        <v>18.757236326133366</v>
      </c>
      <c r="I26" s="96"/>
      <c r="J26" s="97"/>
      <c r="K26" s="73">
        <f t="shared" si="1"/>
        <v>18.757236326133366</v>
      </c>
      <c r="L26" s="55">
        <f t="shared" si="4"/>
        <v>19</v>
      </c>
      <c r="M26" s="8">
        <f t="shared" si="2"/>
        <v>1.4568111725277981</v>
      </c>
      <c r="N26" s="97">
        <f t="shared" si="3"/>
        <v>12.875543982537277</v>
      </c>
    </row>
    <row r="27" spans="3:14" x14ac:dyDescent="0.2">
      <c r="C27" s="78">
        <v>2038</v>
      </c>
      <c r="D27" s="94">
        <v>150.41999999999999</v>
      </c>
      <c r="E27" s="94">
        <v>35</v>
      </c>
      <c r="F27" s="94">
        <v>96.662763673866621</v>
      </c>
      <c r="G27" s="94">
        <f t="shared" si="0"/>
        <v>18.757236326133366</v>
      </c>
      <c r="I27" s="96"/>
      <c r="J27" s="97"/>
      <c r="K27" s="73">
        <f t="shared" si="1"/>
        <v>18.757236326133366</v>
      </c>
      <c r="L27" s="55">
        <f t="shared" si="4"/>
        <v>20</v>
      </c>
      <c r="M27" s="8">
        <f t="shared" si="2"/>
        <v>1.4859473959783542</v>
      </c>
      <c r="N27" s="97">
        <f t="shared" si="3"/>
        <v>12.623082335820859</v>
      </c>
    </row>
    <row r="28" spans="3:14" x14ac:dyDescent="0.2">
      <c r="C28" s="78">
        <v>2039</v>
      </c>
      <c r="D28" s="94">
        <v>150.41999999999999</v>
      </c>
      <c r="E28" s="94">
        <v>35</v>
      </c>
      <c r="F28" s="94">
        <v>96.662763673866621</v>
      </c>
      <c r="G28" s="94">
        <f t="shared" si="0"/>
        <v>18.757236326133366</v>
      </c>
      <c r="I28" s="96"/>
      <c r="J28" s="97"/>
      <c r="K28" s="73">
        <f t="shared" si="1"/>
        <v>18.757236326133366</v>
      </c>
      <c r="L28" s="55">
        <f t="shared" si="4"/>
        <v>21</v>
      </c>
      <c r="M28" s="8">
        <f t="shared" si="2"/>
        <v>1.5156663438979212</v>
      </c>
      <c r="N28" s="97">
        <f t="shared" si="3"/>
        <v>12.375570917471432</v>
      </c>
    </row>
    <row r="29" spans="3:14" x14ac:dyDescent="0.2">
      <c r="C29" s="78">
        <v>2040</v>
      </c>
      <c r="D29" s="94">
        <v>150.41999999999999</v>
      </c>
      <c r="E29" s="94">
        <v>35</v>
      </c>
      <c r="F29" s="94">
        <v>96.662763673866621</v>
      </c>
      <c r="G29" s="94">
        <f t="shared" si="0"/>
        <v>18.757236326133366</v>
      </c>
      <c r="I29" s="96"/>
      <c r="J29" s="97"/>
      <c r="K29" s="73">
        <f t="shared" si="1"/>
        <v>18.757236326133366</v>
      </c>
      <c r="L29" s="55">
        <f t="shared" si="4"/>
        <v>22</v>
      </c>
      <c r="M29" s="8">
        <f t="shared" si="2"/>
        <v>1.5459796707758797</v>
      </c>
      <c r="N29" s="97">
        <f t="shared" si="3"/>
        <v>12.132912664187677</v>
      </c>
    </row>
    <row r="30" spans="3:14" x14ac:dyDescent="0.2">
      <c r="C30" s="78">
        <v>2041</v>
      </c>
      <c r="D30" s="94">
        <v>150.41999999999999</v>
      </c>
      <c r="E30" s="94">
        <v>35</v>
      </c>
      <c r="F30" s="94">
        <v>96.662763673866621</v>
      </c>
      <c r="G30" s="94">
        <f t="shared" si="0"/>
        <v>18.757236326133366</v>
      </c>
      <c r="I30" s="96"/>
      <c r="J30" s="97"/>
      <c r="K30" s="73">
        <f t="shared" si="1"/>
        <v>18.757236326133366</v>
      </c>
      <c r="L30" s="55">
        <f t="shared" si="4"/>
        <v>23</v>
      </c>
      <c r="M30" s="8">
        <f t="shared" si="2"/>
        <v>1.576899264191397</v>
      </c>
      <c r="N30" s="97">
        <f t="shared" si="3"/>
        <v>11.895012415870273</v>
      </c>
    </row>
    <row r="31" spans="3:14" x14ac:dyDescent="0.2">
      <c r="C31" s="78">
        <v>2042</v>
      </c>
      <c r="D31" s="94">
        <v>150.41999999999999</v>
      </c>
      <c r="E31" s="94">
        <v>35</v>
      </c>
      <c r="F31" s="94">
        <v>96.662763673866621</v>
      </c>
      <c r="G31" s="94">
        <f t="shared" si="0"/>
        <v>18.757236326133366</v>
      </c>
      <c r="I31" s="96"/>
      <c r="J31" s="97"/>
      <c r="K31" s="73">
        <f t="shared" si="1"/>
        <v>18.757236326133366</v>
      </c>
      <c r="L31" s="55">
        <f t="shared" si="4"/>
        <v>24</v>
      </c>
      <c r="M31" s="8">
        <f t="shared" si="2"/>
        <v>1.608437249475225</v>
      </c>
      <c r="N31" s="97">
        <f t="shared" si="3"/>
        <v>11.66177687830419</v>
      </c>
    </row>
    <row r="32" spans="3:14" x14ac:dyDescent="0.2">
      <c r="C32" s="78">
        <v>2043</v>
      </c>
      <c r="D32" s="94">
        <v>150.41999999999999</v>
      </c>
      <c r="E32" s="94">
        <v>35</v>
      </c>
      <c r="F32" s="94">
        <v>96.662763673866621</v>
      </c>
      <c r="G32" s="94">
        <f t="shared" si="0"/>
        <v>18.757236326133366</v>
      </c>
      <c r="I32" s="96"/>
      <c r="J32" s="97"/>
      <c r="K32" s="73">
        <f t="shared" si="1"/>
        <v>18.757236326133366</v>
      </c>
      <c r="L32" s="55">
        <f t="shared" si="4"/>
        <v>25</v>
      </c>
      <c r="M32" s="8">
        <f t="shared" si="2"/>
        <v>1.6406059944647295</v>
      </c>
      <c r="N32" s="97">
        <f t="shared" si="3"/>
        <v>11.433114586572735</v>
      </c>
    </row>
    <row r="33" spans="3:14" x14ac:dyDescent="0.2">
      <c r="C33" s="78">
        <v>2044</v>
      </c>
      <c r="D33" s="94">
        <v>150.41999999999999</v>
      </c>
      <c r="E33" s="94">
        <v>35</v>
      </c>
      <c r="F33" s="94">
        <v>96.662763673866621</v>
      </c>
      <c r="G33" s="94">
        <f t="shared" si="0"/>
        <v>18.757236326133366</v>
      </c>
      <c r="I33" s="96"/>
      <c r="J33" s="97"/>
      <c r="K33" s="73">
        <f t="shared" si="1"/>
        <v>18.757236326133366</v>
      </c>
      <c r="L33" s="55">
        <f t="shared" si="4"/>
        <v>26</v>
      </c>
      <c r="M33" s="8">
        <f t="shared" si="2"/>
        <v>1.6734181143540243</v>
      </c>
      <c r="N33" s="97">
        <f t="shared" si="3"/>
        <v>11.208935869188954</v>
      </c>
    </row>
    <row r="34" spans="3:14" x14ac:dyDescent="0.2">
      <c r="C34" s="78">
        <v>2045</v>
      </c>
      <c r="D34" s="94">
        <v>150.41999999999999</v>
      </c>
      <c r="E34" s="94">
        <v>35</v>
      </c>
      <c r="F34" s="94">
        <v>96.662763673866621</v>
      </c>
      <c r="G34" s="94">
        <f t="shared" si="0"/>
        <v>18.757236326133366</v>
      </c>
      <c r="I34" s="96"/>
      <c r="J34" s="97"/>
      <c r="K34" s="73">
        <f t="shared" si="1"/>
        <v>18.757236326133366</v>
      </c>
      <c r="L34" s="55">
        <f t="shared" si="4"/>
        <v>27</v>
      </c>
      <c r="M34" s="8">
        <f t="shared" si="2"/>
        <v>1.7068864766411045</v>
      </c>
      <c r="N34" s="97">
        <f t="shared" si="3"/>
        <v>10.98915281293035</v>
      </c>
    </row>
    <row r="35" spans="3:14" x14ac:dyDescent="0.2">
      <c r="C35" s="78">
        <v>2046</v>
      </c>
      <c r="D35" s="94">
        <v>150.41999999999999</v>
      </c>
      <c r="E35" s="94">
        <v>35</v>
      </c>
      <c r="F35" s="94">
        <v>96.662763673866621</v>
      </c>
      <c r="G35" s="94">
        <f t="shared" si="0"/>
        <v>18.757236326133366</v>
      </c>
      <c r="I35" s="96"/>
      <c r="J35" s="97"/>
      <c r="K35" s="73">
        <f t="shared" si="1"/>
        <v>18.757236326133366</v>
      </c>
      <c r="L35" s="55">
        <f t="shared" si="4"/>
        <v>28</v>
      </c>
      <c r="M35" s="8">
        <f t="shared" si="2"/>
        <v>1.7410242061739269</v>
      </c>
      <c r="N35" s="97">
        <f t="shared" si="3"/>
        <v>10.773679228363084</v>
      </c>
    </row>
    <row r="36" spans="3:14" x14ac:dyDescent="0.2">
      <c r="C36" s="78">
        <v>2047</v>
      </c>
      <c r="D36" s="94">
        <v>150.41999999999999</v>
      </c>
      <c r="E36" s="94">
        <v>35</v>
      </c>
      <c r="F36" s="94">
        <v>96.662763673866621</v>
      </c>
      <c r="G36" s="94">
        <f t="shared" si="0"/>
        <v>18.757236326133366</v>
      </c>
      <c r="I36" s="96"/>
      <c r="J36" s="97"/>
      <c r="K36" s="73">
        <f t="shared" si="1"/>
        <v>18.757236326133366</v>
      </c>
      <c r="L36" s="55">
        <f t="shared" si="4"/>
        <v>29</v>
      </c>
      <c r="M36" s="8">
        <f t="shared" si="2"/>
        <v>1.7758446902974052</v>
      </c>
      <c r="N36" s="97">
        <f t="shared" si="3"/>
        <v>10.562430616042242</v>
      </c>
    </row>
    <row r="37" spans="3:14" x14ac:dyDescent="0.2">
      <c r="C37" s="78">
        <v>2048</v>
      </c>
      <c r="D37" s="94">
        <v>150.41999999999999</v>
      </c>
      <c r="E37" s="94">
        <v>35</v>
      </c>
      <c r="F37" s="94">
        <v>96.662763673866621</v>
      </c>
      <c r="G37" s="94">
        <f t="shared" si="0"/>
        <v>18.757236326133366</v>
      </c>
      <c r="I37" s="96"/>
      <c r="J37" s="97"/>
      <c r="K37" s="73">
        <f t="shared" si="1"/>
        <v>18.757236326133366</v>
      </c>
      <c r="L37" s="55">
        <f t="shared" si="4"/>
        <v>30</v>
      </c>
      <c r="M37" s="8">
        <f t="shared" si="2"/>
        <v>1.8113615841033535</v>
      </c>
      <c r="N37" s="97">
        <f t="shared" si="3"/>
        <v>10.355324133374745</v>
      </c>
    </row>
    <row r="38" spans="3:14" x14ac:dyDescent="0.2">
      <c r="C38" s="78">
        <v>2049</v>
      </c>
      <c r="D38" s="94">
        <v>150.41999999999999</v>
      </c>
      <c r="E38" s="94">
        <v>35</v>
      </c>
      <c r="F38" s="94">
        <v>96.662763673866621</v>
      </c>
      <c r="G38" s="94">
        <f t="shared" si="0"/>
        <v>18.757236326133366</v>
      </c>
      <c r="I38" s="96"/>
      <c r="J38" s="97"/>
      <c r="K38" s="73">
        <f t="shared" si="1"/>
        <v>18.757236326133366</v>
      </c>
      <c r="L38" s="55">
        <f t="shared" si="4"/>
        <v>31</v>
      </c>
      <c r="M38" s="8">
        <f t="shared" si="2"/>
        <v>1.8475888157854201</v>
      </c>
      <c r="N38" s="97">
        <f t="shared" si="3"/>
        <v>10.152278562132107</v>
      </c>
    </row>
    <row r="39" spans="3:14" x14ac:dyDescent="0.2">
      <c r="C39" s="78">
        <v>2050</v>
      </c>
      <c r="D39" s="94">
        <v>150.41999999999999</v>
      </c>
      <c r="E39" s="94">
        <v>35</v>
      </c>
      <c r="F39" s="94">
        <v>96.662763673866621</v>
      </c>
      <c r="G39" s="94">
        <f t="shared" si="0"/>
        <v>18.757236326133366</v>
      </c>
      <c r="I39" s="96"/>
      <c r="J39" s="97"/>
      <c r="K39" s="73">
        <f t="shared" si="1"/>
        <v>18.757236326133366</v>
      </c>
      <c r="L39" s="55">
        <f t="shared" si="4"/>
        <v>32</v>
      </c>
      <c r="M39" s="8">
        <f t="shared" si="2"/>
        <v>1.8845405921011289</v>
      </c>
      <c r="N39" s="97">
        <f t="shared" si="3"/>
        <v>9.9532142766001019</v>
      </c>
    </row>
    <row r="40" spans="3:14" x14ac:dyDescent="0.2">
      <c r="C40" s="78">
        <v>2051</v>
      </c>
      <c r="D40" s="94">
        <v>150.41999999999999</v>
      </c>
      <c r="E40" s="94">
        <v>35</v>
      </c>
      <c r="F40" s="94">
        <v>96.662763673866621</v>
      </c>
      <c r="G40" s="94">
        <f t="shared" si="0"/>
        <v>18.757236326133366</v>
      </c>
      <c r="I40" s="96"/>
      <c r="J40" s="97"/>
      <c r="K40" s="73">
        <f t="shared" si="1"/>
        <v>18.757236326133366</v>
      </c>
      <c r="L40" s="55">
        <f t="shared" si="4"/>
        <v>33</v>
      </c>
      <c r="M40" s="8">
        <f t="shared" si="2"/>
        <v>1.9222314039431516</v>
      </c>
      <c r="N40" s="97">
        <f t="shared" si="3"/>
        <v>9.7580532123530404</v>
      </c>
    </row>
    <row r="41" spans="3:14" x14ac:dyDescent="0.2">
      <c r="C41" s="78">
        <v>2052</v>
      </c>
      <c r="D41" s="94">
        <v>150.41999999999999</v>
      </c>
      <c r="E41" s="94">
        <v>35</v>
      </c>
      <c r="F41" s="94">
        <v>96.662763673866621</v>
      </c>
      <c r="G41" s="94">
        <f t="shared" si="0"/>
        <v>18.757236326133366</v>
      </c>
      <c r="I41" s="96"/>
      <c r="J41" s="97"/>
      <c r="K41" s="73">
        <f t="shared" si="1"/>
        <v>18.757236326133366</v>
      </c>
      <c r="L41" s="55">
        <f t="shared" si="4"/>
        <v>34</v>
      </c>
      <c r="M41" s="8">
        <f t="shared" si="2"/>
        <v>1.9606760320220145</v>
      </c>
      <c r="N41" s="97">
        <f t="shared" si="3"/>
        <v>9.5667188356402377</v>
      </c>
    </row>
    <row r="42" spans="3:14" x14ac:dyDescent="0.2">
      <c r="C42" s="78">
        <v>2053</v>
      </c>
      <c r="D42" s="94">
        <v>150.41999999999999</v>
      </c>
      <c r="E42" s="94">
        <v>35</v>
      </c>
      <c r="F42" s="94">
        <v>96.662763673866621</v>
      </c>
      <c r="G42" s="94">
        <f t="shared" si="0"/>
        <v>18.757236326133366</v>
      </c>
      <c r="I42" s="96"/>
      <c r="J42" s="97"/>
      <c r="K42" s="73">
        <f t="shared" si="1"/>
        <v>18.757236326133366</v>
      </c>
      <c r="L42" s="55">
        <f t="shared" si="4"/>
        <v>35</v>
      </c>
      <c r="M42" s="8">
        <f t="shared" si="2"/>
        <v>1.9998895526624547</v>
      </c>
      <c r="N42" s="97">
        <f t="shared" si="3"/>
        <v>9.3791361133727822</v>
      </c>
    </row>
    <row r="43" spans="3:14" x14ac:dyDescent="0.2">
      <c r="C43" s="78">
        <v>2054</v>
      </c>
      <c r="D43" s="94">
        <v>150.41999999999999</v>
      </c>
      <c r="E43" s="94">
        <v>35</v>
      </c>
      <c r="F43" s="94">
        <v>96.662763673866621</v>
      </c>
      <c r="G43" s="94">
        <f t="shared" si="0"/>
        <v>18.757236326133366</v>
      </c>
      <c r="I43" s="96"/>
      <c r="J43" s="97"/>
      <c r="K43" s="73">
        <f t="shared" si="1"/>
        <v>18.757236326133366</v>
      </c>
      <c r="L43" s="55">
        <f t="shared" si="4"/>
        <v>36</v>
      </c>
      <c r="M43" s="8">
        <f t="shared" si="2"/>
        <v>2.0398873437157037</v>
      </c>
      <c r="N43" s="97">
        <f t="shared" si="3"/>
        <v>9.1952314836988069</v>
      </c>
    </row>
    <row r="44" spans="3:14" x14ac:dyDescent="0.2">
      <c r="C44" s="78">
        <v>2055</v>
      </c>
      <c r="D44" s="94">
        <v>150.41999999999999</v>
      </c>
      <c r="E44" s="94">
        <v>35</v>
      </c>
      <c r="F44" s="94">
        <v>96.662763673866621</v>
      </c>
      <c r="G44" s="94">
        <f t="shared" si="0"/>
        <v>18.757236326133366</v>
      </c>
      <c r="I44" s="96"/>
      <c r="J44" s="97"/>
      <c r="K44" s="73">
        <f t="shared" si="1"/>
        <v>18.757236326133366</v>
      </c>
      <c r="L44" s="55">
        <f t="shared" si="4"/>
        <v>37</v>
      </c>
      <c r="M44" s="8">
        <f t="shared" si="2"/>
        <v>2.080685090590018</v>
      </c>
      <c r="N44" s="97">
        <f t="shared" si="3"/>
        <v>9.0149328271556914</v>
      </c>
    </row>
    <row r="45" spans="3:14" x14ac:dyDescent="0.2">
      <c r="C45" s="78">
        <v>2056</v>
      </c>
      <c r="D45" s="94">
        <v>150.41999999999999</v>
      </c>
      <c r="E45" s="94">
        <v>35</v>
      </c>
      <c r="F45" s="94">
        <v>96.662763673866621</v>
      </c>
      <c r="G45" s="94">
        <f t="shared" si="0"/>
        <v>18.757236326133366</v>
      </c>
      <c r="I45" s="96"/>
      <c r="J45" s="97"/>
      <c r="K45" s="73">
        <f t="shared" si="1"/>
        <v>18.757236326133366</v>
      </c>
      <c r="L45" s="55">
        <f t="shared" si="4"/>
        <v>38</v>
      </c>
      <c r="M45" s="8">
        <f t="shared" si="2"/>
        <v>2.1222987924018186</v>
      </c>
      <c r="N45" s="97">
        <f t="shared" si="3"/>
        <v>8.838169438387931</v>
      </c>
    </row>
    <row r="46" spans="3:14" x14ac:dyDescent="0.2">
      <c r="C46" s="78">
        <v>2057</v>
      </c>
      <c r="D46" s="94">
        <v>150.41999999999999</v>
      </c>
      <c r="E46" s="94">
        <v>35</v>
      </c>
      <c r="F46" s="94">
        <v>96.662763673866621</v>
      </c>
      <c r="G46" s="94">
        <f t="shared" si="0"/>
        <v>18.757236326133366</v>
      </c>
      <c r="I46" s="96"/>
      <c r="J46" s="97"/>
      <c r="K46" s="73">
        <f t="shared" si="1"/>
        <v>18.757236326133366</v>
      </c>
      <c r="L46" s="55">
        <f t="shared" si="4"/>
        <v>39</v>
      </c>
      <c r="M46" s="8">
        <f t="shared" si="2"/>
        <v>2.1647447682498542</v>
      </c>
      <c r="N46" s="97">
        <f t="shared" si="3"/>
        <v>8.6648719984195441</v>
      </c>
    </row>
    <row r="47" spans="3:14" x14ac:dyDescent="0.2">
      <c r="C47" s="78">
        <v>2058</v>
      </c>
      <c r="D47" s="94">
        <v>150.41999999999999</v>
      </c>
      <c r="E47" s="94">
        <v>35</v>
      </c>
      <c r="F47" s="94">
        <v>96.662763673866621</v>
      </c>
      <c r="G47" s="94">
        <f t="shared" si="0"/>
        <v>18.757236326133366</v>
      </c>
      <c r="I47" s="96"/>
      <c r="J47" s="97"/>
      <c r="K47" s="73">
        <f t="shared" si="1"/>
        <v>18.757236326133366</v>
      </c>
      <c r="L47" s="55">
        <f t="shared" si="4"/>
        <v>40</v>
      </c>
      <c r="M47" s="8">
        <f t="shared" si="2"/>
        <v>2.2080396636148518</v>
      </c>
      <c r="N47" s="97">
        <f t="shared" si="3"/>
        <v>8.4949725474701392</v>
      </c>
    </row>
    <row r="48" spans="3:14" x14ac:dyDescent="0.2">
      <c r="C48" s="78">
        <v>2059</v>
      </c>
      <c r="D48" s="94">
        <v>150.41999999999999</v>
      </c>
      <c r="E48" s="94">
        <v>35</v>
      </c>
      <c r="F48" s="94">
        <v>96.662763673866621</v>
      </c>
      <c r="G48" s="94">
        <f t="shared" si="0"/>
        <v>18.757236326133366</v>
      </c>
      <c r="I48" s="96"/>
      <c r="J48" s="97"/>
      <c r="K48" s="73">
        <f t="shared" si="1"/>
        <v>18.757236326133366</v>
      </c>
      <c r="L48" s="55">
        <f t="shared" si="4"/>
        <v>41</v>
      </c>
      <c r="M48" s="8">
        <f t="shared" si="2"/>
        <v>2.2522004568871488</v>
      </c>
      <c r="N48" s="97">
        <f t="shared" si="3"/>
        <v>8.3284044583040586</v>
      </c>
    </row>
    <row r="49" spans="3:15" x14ac:dyDescent="0.2">
      <c r="C49" s="78">
        <v>2060</v>
      </c>
      <c r="D49" s="94">
        <v>150.41999999999999</v>
      </c>
      <c r="E49" s="94">
        <v>35</v>
      </c>
      <c r="F49" s="94">
        <v>96.662763673866621</v>
      </c>
      <c r="G49" s="94">
        <f t="shared" si="0"/>
        <v>18.757236326133366</v>
      </c>
      <c r="K49" s="73">
        <f t="shared" si="1"/>
        <v>18.757236326133366</v>
      </c>
      <c r="L49" s="55">
        <f t="shared" si="4"/>
        <v>42</v>
      </c>
      <c r="M49" s="8">
        <f t="shared" si="2"/>
        <v>2.2972444660248916</v>
      </c>
      <c r="N49" s="97">
        <f t="shared" si="3"/>
        <v>8.1651024101020173</v>
      </c>
      <c r="O49" s="104"/>
    </row>
    <row r="50" spans="3:15" x14ac:dyDescent="0.2">
      <c r="D50" s="72"/>
      <c r="E50" s="72"/>
      <c r="F50" s="72"/>
      <c r="G50" s="96">
        <f>SUM(G7:G49)</f>
        <v>2167.4896111324306</v>
      </c>
      <c r="H50" s="72"/>
      <c r="J50" s="104"/>
      <c r="N50" s="97">
        <f>SUM(N7:N49)</f>
        <v>1737.199838646949</v>
      </c>
    </row>
    <row r="51" spans="3:15" x14ac:dyDescent="0.2">
      <c r="D51" s="72"/>
      <c r="E51" s="72"/>
      <c r="F51" s="72"/>
      <c r="G51" s="73">
        <f>D101/G50</f>
        <v>7.4037356015818618</v>
      </c>
      <c r="H51" s="72"/>
      <c r="J51" s="97"/>
    </row>
    <row r="52" spans="3:15" x14ac:dyDescent="0.2">
      <c r="K52" s="73"/>
      <c r="L52" s="73"/>
    </row>
    <row r="53" spans="3:15" ht="15.75" x14ac:dyDescent="0.25">
      <c r="C53" s="74" t="s">
        <v>397</v>
      </c>
      <c r="D53" s="75"/>
      <c r="E53" s="75"/>
      <c r="F53" s="75"/>
      <c r="G53" s="75"/>
      <c r="H53" s="75"/>
      <c r="I53" s="75"/>
      <c r="J53" s="80"/>
      <c r="K53" s="95"/>
      <c r="L53" s="105"/>
    </row>
    <row r="54" spans="3:15" ht="83.25" customHeight="1" x14ac:dyDescent="0.2">
      <c r="C54" s="76"/>
      <c r="D54" s="82" t="s">
        <v>376</v>
      </c>
      <c r="E54" s="82" t="s">
        <v>377</v>
      </c>
      <c r="F54" s="82" t="s">
        <v>378</v>
      </c>
      <c r="G54" s="82" t="s">
        <v>379</v>
      </c>
      <c r="H54" s="82" t="s">
        <v>380</v>
      </c>
      <c r="I54" s="82" t="s">
        <v>381</v>
      </c>
      <c r="J54" s="82" t="s">
        <v>382</v>
      </c>
    </row>
    <row r="55" spans="3:15" x14ac:dyDescent="0.2">
      <c r="C55" s="83"/>
      <c r="D55" s="83"/>
      <c r="E55" s="83"/>
      <c r="F55" s="83"/>
      <c r="G55" s="83"/>
      <c r="H55" s="83"/>
      <c r="I55" s="83"/>
      <c r="J55" s="83"/>
      <c r="L55" t="s">
        <v>430</v>
      </c>
    </row>
    <row r="56" spans="3:15" ht="51" x14ac:dyDescent="0.2">
      <c r="C56" s="77" t="s">
        <v>325</v>
      </c>
      <c r="D56" s="76" t="s">
        <v>352</v>
      </c>
      <c r="E56" s="76" t="s">
        <v>56</v>
      </c>
      <c r="F56" s="76" t="s">
        <v>56</v>
      </c>
      <c r="G56" s="76" t="s">
        <v>213</v>
      </c>
      <c r="H56" s="76" t="s">
        <v>213</v>
      </c>
      <c r="I56" s="76" t="s">
        <v>352</v>
      </c>
      <c r="J56" s="76" t="s">
        <v>352</v>
      </c>
      <c r="K56" t="s">
        <v>431</v>
      </c>
      <c r="L56">
        <v>1.02</v>
      </c>
      <c r="M56" s="106" t="s">
        <v>427</v>
      </c>
      <c r="N56" s="106" t="s">
        <v>432</v>
      </c>
    </row>
    <row r="57" spans="3:15" x14ac:dyDescent="0.2">
      <c r="C57" s="78">
        <v>2018</v>
      </c>
      <c r="D57" s="79">
        <v>35.46</v>
      </c>
      <c r="E57" s="79">
        <v>1281</v>
      </c>
      <c r="F57" s="79">
        <v>2290</v>
      </c>
      <c r="G57" s="79">
        <v>26.15</v>
      </c>
      <c r="H57" s="79">
        <v>72.02</v>
      </c>
      <c r="I57" s="79">
        <v>21.45</v>
      </c>
      <c r="J57" s="79">
        <v>0.47275920168067209</v>
      </c>
      <c r="K57" s="73">
        <f>D57</f>
        <v>35.46</v>
      </c>
      <c r="L57" s="55">
        <v>0</v>
      </c>
      <c r="M57" s="8">
        <f>$L$6^(L57)</f>
        <v>1</v>
      </c>
      <c r="N57" s="97">
        <f>K57/M57</f>
        <v>35.46</v>
      </c>
    </row>
    <row r="58" spans="3:15" x14ac:dyDescent="0.2">
      <c r="C58" s="78">
        <v>2019</v>
      </c>
      <c r="D58" s="79">
        <v>248.24</v>
      </c>
      <c r="E58" s="79">
        <v>5420</v>
      </c>
      <c r="F58" s="79">
        <v>6391</v>
      </c>
      <c r="G58" s="79">
        <v>376.78</v>
      </c>
      <c r="H58" s="79">
        <v>453.84</v>
      </c>
      <c r="I58" s="79">
        <v>280.93</v>
      </c>
      <c r="J58" s="79">
        <v>7.17788</v>
      </c>
      <c r="K58" s="73">
        <f t="shared" ref="K58:K99" si="5">D58</f>
        <v>248.24</v>
      </c>
      <c r="L58" s="55">
        <f>L57+1</f>
        <v>1</v>
      </c>
      <c r="M58" s="8">
        <f t="shared" ref="M58:M99" si="6">$L$6^(L58)</f>
        <v>1.02</v>
      </c>
      <c r="N58" s="97">
        <f t="shared" ref="N58:N99" si="7">K58/M58</f>
        <v>243.37254901960785</v>
      </c>
    </row>
    <row r="59" spans="3:15" x14ac:dyDescent="0.2">
      <c r="C59" s="78">
        <v>2020</v>
      </c>
      <c r="D59" s="79">
        <v>281.95</v>
      </c>
      <c r="E59" s="79">
        <v>5870</v>
      </c>
      <c r="F59" s="79">
        <v>6726</v>
      </c>
      <c r="G59" s="79">
        <v>430.48</v>
      </c>
      <c r="H59" s="79">
        <v>491.04</v>
      </c>
      <c r="I59" s="79">
        <v>303.02</v>
      </c>
      <c r="J59" s="79">
        <v>7.7307262452805272</v>
      </c>
      <c r="K59" s="73">
        <f t="shared" si="5"/>
        <v>281.95</v>
      </c>
      <c r="L59" s="55">
        <f t="shared" ref="L59:L99" si="8">L58+1</f>
        <v>2</v>
      </c>
      <c r="M59" s="8">
        <f t="shared" si="6"/>
        <v>1.0404</v>
      </c>
      <c r="N59" s="97">
        <f t="shared" si="7"/>
        <v>271.00153787004996</v>
      </c>
    </row>
    <row r="60" spans="3:15" x14ac:dyDescent="0.2">
      <c r="C60" s="78">
        <v>2021</v>
      </c>
      <c r="D60" s="79">
        <v>295.02999999999997</v>
      </c>
      <c r="E60" s="79">
        <v>6010</v>
      </c>
      <c r="F60" s="79">
        <v>6796</v>
      </c>
      <c r="G60" s="79">
        <v>469.32</v>
      </c>
      <c r="H60" s="79">
        <v>516.86</v>
      </c>
      <c r="I60" s="79">
        <v>318.18</v>
      </c>
      <c r="J60" s="79">
        <v>8.1100031127313859</v>
      </c>
      <c r="K60" s="73">
        <f t="shared" si="5"/>
        <v>295.02999999999997</v>
      </c>
      <c r="L60" s="55">
        <f t="shared" si="8"/>
        <v>3</v>
      </c>
      <c r="M60" s="8">
        <f t="shared" si="6"/>
        <v>1.0612079999999999</v>
      </c>
      <c r="N60" s="97">
        <f t="shared" si="7"/>
        <v>278.01335836141453</v>
      </c>
    </row>
    <row r="61" spans="3:15" x14ac:dyDescent="0.2">
      <c r="C61" s="78">
        <v>2022</v>
      </c>
      <c r="D61" s="79">
        <v>296.52</v>
      </c>
      <c r="E61" s="79">
        <v>5966</v>
      </c>
      <c r="F61" s="79">
        <v>6704</v>
      </c>
      <c r="G61" s="79">
        <v>499.96</v>
      </c>
      <c r="H61" s="79">
        <v>537.61</v>
      </c>
      <c r="I61" s="79">
        <v>327.22000000000003</v>
      </c>
      <c r="J61" s="79">
        <v>8.3422640000000001</v>
      </c>
      <c r="K61" s="73">
        <f t="shared" si="5"/>
        <v>296.52</v>
      </c>
      <c r="L61" s="55">
        <f t="shared" si="8"/>
        <v>4</v>
      </c>
      <c r="M61" s="8">
        <f t="shared" si="6"/>
        <v>1.08243216</v>
      </c>
      <c r="N61" s="97">
        <f t="shared" si="7"/>
        <v>273.938645725382</v>
      </c>
    </row>
    <row r="62" spans="3:15" x14ac:dyDescent="0.2">
      <c r="C62" s="78">
        <v>2023</v>
      </c>
      <c r="D62" s="79">
        <v>291.55</v>
      </c>
      <c r="E62" s="79">
        <v>5844</v>
      </c>
      <c r="F62" s="79">
        <v>6552</v>
      </c>
      <c r="G62" s="79">
        <v>523.16</v>
      </c>
      <c r="H62" s="79">
        <v>553.09</v>
      </c>
      <c r="I62" s="79">
        <v>333.79</v>
      </c>
      <c r="J62" s="79">
        <v>8.5141910762777879</v>
      </c>
      <c r="K62" s="73">
        <f t="shared" si="5"/>
        <v>291.55</v>
      </c>
      <c r="L62" s="55">
        <f t="shared" si="8"/>
        <v>5</v>
      </c>
      <c r="M62" s="8">
        <f t="shared" si="6"/>
        <v>1.1040808032</v>
      </c>
      <c r="N62" s="97">
        <f t="shared" si="7"/>
        <v>264.065817605912</v>
      </c>
    </row>
    <row r="63" spans="3:15" x14ac:dyDescent="0.2">
      <c r="C63" s="78">
        <v>2024</v>
      </c>
      <c r="D63" s="79">
        <v>284.33999999999997</v>
      </c>
      <c r="E63" s="79">
        <v>5692</v>
      </c>
      <c r="F63" s="79">
        <v>6381</v>
      </c>
      <c r="G63" s="79">
        <v>542.76</v>
      </c>
      <c r="H63" s="79">
        <v>566.82000000000005</v>
      </c>
      <c r="I63" s="79">
        <v>339.51</v>
      </c>
      <c r="J63" s="79">
        <v>8.6657040000000016</v>
      </c>
      <c r="K63" s="73">
        <f t="shared" si="5"/>
        <v>284.33999999999997</v>
      </c>
      <c r="L63" s="55">
        <f t="shared" si="8"/>
        <v>6</v>
      </c>
      <c r="M63" s="8">
        <f t="shared" si="6"/>
        <v>1.1261624192640001</v>
      </c>
      <c r="N63" s="97">
        <f t="shared" si="7"/>
        <v>252.4857828108218</v>
      </c>
    </row>
    <row r="64" spans="3:15" x14ac:dyDescent="0.2">
      <c r="C64" s="78">
        <v>2025</v>
      </c>
      <c r="D64" s="79">
        <v>275.52999999999997</v>
      </c>
      <c r="E64" s="79">
        <v>5529</v>
      </c>
      <c r="F64" s="79">
        <v>6208</v>
      </c>
      <c r="G64" s="79">
        <v>559.74</v>
      </c>
      <c r="H64" s="79">
        <v>578.83000000000004</v>
      </c>
      <c r="I64" s="79">
        <v>342.86</v>
      </c>
      <c r="J64" s="79">
        <v>8.7608699999999988</v>
      </c>
      <c r="K64" s="73">
        <f t="shared" si="5"/>
        <v>275.52999999999997</v>
      </c>
      <c r="L64" s="55">
        <f t="shared" si="8"/>
        <v>7</v>
      </c>
      <c r="M64" s="8">
        <f t="shared" si="6"/>
        <v>1.1486856676492798</v>
      </c>
      <c r="N64" s="97">
        <f t="shared" si="7"/>
        <v>239.86544601349169</v>
      </c>
    </row>
    <row r="65" spans="3:14" x14ac:dyDescent="0.2">
      <c r="C65" s="78">
        <v>2026</v>
      </c>
      <c r="D65" s="79">
        <v>267.52999999999997</v>
      </c>
      <c r="E65" s="79">
        <v>5384</v>
      </c>
      <c r="F65" s="79">
        <v>6056</v>
      </c>
      <c r="G65" s="79">
        <v>574.88</v>
      </c>
      <c r="H65" s="79">
        <v>589.54999999999995</v>
      </c>
      <c r="I65" s="79">
        <v>346.17</v>
      </c>
      <c r="J65" s="79">
        <v>8.853548</v>
      </c>
      <c r="K65" s="73">
        <f t="shared" si="5"/>
        <v>267.52999999999997</v>
      </c>
      <c r="L65" s="55">
        <f t="shared" si="8"/>
        <v>8</v>
      </c>
      <c r="M65" s="8">
        <f t="shared" si="6"/>
        <v>1.1716593810022655</v>
      </c>
      <c r="N65" s="97">
        <f t="shared" si="7"/>
        <v>228.33427900449053</v>
      </c>
    </row>
    <row r="66" spans="3:14" x14ac:dyDescent="0.2">
      <c r="C66" s="78">
        <v>2027</v>
      </c>
      <c r="D66" s="79">
        <v>261.64</v>
      </c>
      <c r="E66" s="79">
        <v>5269</v>
      </c>
      <c r="F66" s="79">
        <v>5932</v>
      </c>
      <c r="G66" s="79">
        <v>591.85</v>
      </c>
      <c r="H66" s="79">
        <v>602.46</v>
      </c>
      <c r="I66" s="79">
        <v>349.74</v>
      </c>
      <c r="J66" s="79">
        <v>8.953068</v>
      </c>
      <c r="K66" s="73">
        <f t="shared" si="5"/>
        <v>261.64</v>
      </c>
      <c r="L66" s="55">
        <f t="shared" si="8"/>
        <v>9</v>
      </c>
      <c r="M66" s="8">
        <f t="shared" si="6"/>
        <v>1.1950925686223108</v>
      </c>
      <c r="N66" s="97">
        <f t="shared" si="7"/>
        <v>218.92864776292234</v>
      </c>
    </row>
    <row r="67" spans="3:14" x14ac:dyDescent="0.2">
      <c r="C67" s="78">
        <v>2028</v>
      </c>
      <c r="D67" s="79">
        <v>258.20999999999998</v>
      </c>
      <c r="E67" s="79">
        <v>5184</v>
      </c>
      <c r="F67" s="79">
        <v>5840</v>
      </c>
      <c r="G67" s="79">
        <v>610.57000000000005</v>
      </c>
      <c r="H67" s="79">
        <v>617.17999999999995</v>
      </c>
      <c r="I67" s="79">
        <v>354.76</v>
      </c>
      <c r="J67" s="79">
        <v>9.085810111458775</v>
      </c>
      <c r="K67" s="73">
        <f t="shared" si="5"/>
        <v>258.20999999999998</v>
      </c>
      <c r="L67" s="55">
        <f t="shared" si="8"/>
        <v>10</v>
      </c>
      <c r="M67" s="8">
        <f t="shared" si="6"/>
        <v>1.2189944199947571</v>
      </c>
      <c r="N67" s="97">
        <f t="shared" si="7"/>
        <v>211.82213451076385</v>
      </c>
    </row>
    <row r="68" spans="3:14" x14ac:dyDescent="0.2">
      <c r="C68" s="78">
        <v>2029</v>
      </c>
      <c r="D68" s="79">
        <v>236.09</v>
      </c>
      <c r="E68" s="79">
        <v>4818</v>
      </c>
      <c r="F68" s="79">
        <v>5674</v>
      </c>
      <c r="G68" s="79">
        <v>610.42999999999995</v>
      </c>
      <c r="H68" s="79">
        <v>627.67999999999995</v>
      </c>
      <c r="I68" s="79">
        <v>349.37</v>
      </c>
      <c r="J68" s="79">
        <v>8.9627634592707075</v>
      </c>
      <c r="K68" s="73">
        <f t="shared" si="5"/>
        <v>236.09</v>
      </c>
      <c r="L68" s="55">
        <f t="shared" si="8"/>
        <v>11</v>
      </c>
      <c r="M68" s="8">
        <f t="shared" si="6"/>
        <v>1.243374308394652</v>
      </c>
      <c r="N68" s="97">
        <f t="shared" si="7"/>
        <v>189.87846089953476</v>
      </c>
    </row>
    <row r="69" spans="3:14" x14ac:dyDescent="0.2">
      <c r="C69" s="78">
        <v>2030</v>
      </c>
      <c r="D69" s="79">
        <v>212.38</v>
      </c>
      <c r="E69" s="79">
        <v>4436</v>
      </c>
      <c r="F69" s="79">
        <v>5514</v>
      </c>
      <c r="G69" s="79">
        <v>606.79999999999995</v>
      </c>
      <c r="H69" s="79">
        <v>638.34</v>
      </c>
      <c r="I69" s="79">
        <v>342.06</v>
      </c>
      <c r="J69" s="79">
        <v>8.7901040000000012</v>
      </c>
      <c r="K69" s="73">
        <f t="shared" si="5"/>
        <v>212.38</v>
      </c>
      <c r="L69" s="55">
        <f t="shared" si="8"/>
        <v>12</v>
      </c>
      <c r="M69" s="8">
        <f t="shared" si="6"/>
        <v>1.2682417945625453</v>
      </c>
      <c r="N69" s="97">
        <f t="shared" si="7"/>
        <v>167.46018063003217</v>
      </c>
    </row>
    <row r="70" spans="3:14" x14ac:dyDescent="0.2">
      <c r="C70" s="78">
        <v>2031</v>
      </c>
      <c r="D70" s="79">
        <v>212.59</v>
      </c>
      <c r="E70" s="79">
        <v>4407</v>
      </c>
      <c r="F70" s="79">
        <v>5479</v>
      </c>
      <c r="G70" s="79">
        <v>626.14</v>
      </c>
      <c r="H70" s="79">
        <v>656.72</v>
      </c>
      <c r="I70" s="79">
        <v>346.87</v>
      </c>
      <c r="J70" s="79">
        <v>8.9191151313498231</v>
      </c>
      <c r="K70" s="73">
        <f t="shared" si="5"/>
        <v>212.59</v>
      </c>
      <c r="L70" s="55">
        <f t="shared" si="8"/>
        <v>13</v>
      </c>
      <c r="M70" s="8">
        <f t="shared" si="6"/>
        <v>1.2936066304537961</v>
      </c>
      <c r="N70" s="97">
        <f t="shared" si="7"/>
        <v>164.33898450676895</v>
      </c>
    </row>
    <row r="71" spans="3:14" x14ac:dyDescent="0.2">
      <c r="C71" s="78">
        <v>2032</v>
      </c>
      <c r="D71" s="79">
        <v>215.3</v>
      </c>
      <c r="E71" s="79">
        <v>4409</v>
      </c>
      <c r="F71" s="79">
        <v>5470</v>
      </c>
      <c r="G71" s="79">
        <v>649.72</v>
      </c>
      <c r="H71" s="79">
        <v>678.7</v>
      </c>
      <c r="I71" s="79">
        <v>353.12</v>
      </c>
      <c r="J71" s="79">
        <v>9.0849320000000002</v>
      </c>
      <c r="K71" s="73">
        <f t="shared" si="5"/>
        <v>215.3</v>
      </c>
      <c r="L71" s="55">
        <f t="shared" si="8"/>
        <v>14</v>
      </c>
      <c r="M71" s="8">
        <f t="shared" si="6"/>
        <v>1.3194787630628722</v>
      </c>
      <c r="N71" s="97">
        <f t="shared" si="7"/>
        <v>163.17049279385873</v>
      </c>
    </row>
    <row r="72" spans="3:14" x14ac:dyDescent="0.2">
      <c r="C72" s="78">
        <v>2033</v>
      </c>
      <c r="D72" s="79">
        <v>207.7</v>
      </c>
      <c r="E72" s="79">
        <v>4226</v>
      </c>
      <c r="F72" s="79">
        <v>5555</v>
      </c>
      <c r="G72" s="79">
        <v>657.72</v>
      </c>
      <c r="H72" s="79">
        <v>706.02</v>
      </c>
      <c r="I72" s="79">
        <v>400.05</v>
      </c>
      <c r="J72" s="79">
        <v>10.278915059241113</v>
      </c>
      <c r="K72" s="73">
        <f t="shared" si="5"/>
        <v>207.7</v>
      </c>
      <c r="L72" s="55">
        <f t="shared" si="8"/>
        <v>15</v>
      </c>
      <c r="M72" s="8">
        <f t="shared" si="6"/>
        <v>1.3458683383241292</v>
      </c>
      <c r="N72" s="97">
        <f t="shared" si="7"/>
        <v>154.32415941861544</v>
      </c>
    </row>
    <row r="73" spans="3:14" x14ac:dyDescent="0.2">
      <c r="C73" s="78">
        <v>2034</v>
      </c>
      <c r="D73" s="79">
        <v>197.85</v>
      </c>
      <c r="E73" s="79">
        <v>4080</v>
      </c>
      <c r="F73" s="79">
        <v>5461</v>
      </c>
      <c r="G73" s="79">
        <v>665.03</v>
      </c>
      <c r="H73" s="79">
        <v>746.96</v>
      </c>
      <c r="I73" s="79">
        <v>398.2</v>
      </c>
      <c r="J73" s="79">
        <v>10.249058615303481</v>
      </c>
      <c r="K73" s="73">
        <f t="shared" si="5"/>
        <v>197.85</v>
      </c>
      <c r="L73" s="55">
        <f t="shared" si="8"/>
        <v>16</v>
      </c>
      <c r="M73" s="8">
        <f t="shared" si="6"/>
        <v>1.372785705090612</v>
      </c>
      <c r="N73" s="97">
        <f t="shared" si="7"/>
        <v>144.12300424336129</v>
      </c>
    </row>
    <row r="74" spans="3:14" x14ac:dyDescent="0.2">
      <c r="C74" s="78">
        <v>2035</v>
      </c>
      <c r="D74" s="79">
        <v>203.69</v>
      </c>
      <c r="E74" s="79">
        <v>4121</v>
      </c>
      <c r="F74" s="79">
        <v>5479</v>
      </c>
      <c r="G74" s="79">
        <v>692.58</v>
      </c>
      <c r="H74" s="79">
        <v>774.11</v>
      </c>
      <c r="I74" s="79">
        <v>404.82</v>
      </c>
      <c r="J74" s="79">
        <v>10.434307751784788</v>
      </c>
      <c r="K74" s="73">
        <f t="shared" si="5"/>
        <v>203.69</v>
      </c>
      <c r="L74" s="55">
        <f t="shared" si="8"/>
        <v>17</v>
      </c>
      <c r="M74" s="8">
        <f t="shared" si="6"/>
        <v>1.4002414191924244</v>
      </c>
      <c r="N74" s="97">
        <f t="shared" si="7"/>
        <v>145.46777234848275</v>
      </c>
    </row>
    <row r="75" spans="3:14" x14ac:dyDescent="0.2">
      <c r="C75" s="78">
        <v>2036</v>
      </c>
      <c r="D75" s="79">
        <v>218.51</v>
      </c>
      <c r="E75" s="79">
        <v>4265</v>
      </c>
      <c r="F75" s="79">
        <v>5598</v>
      </c>
      <c r="G75" s="79">
        <v>767.36</v>
      </c>
      <c r="H75" s="79">
        <v>843.7</v>
      </c>
      <c r="I75" s="79">
        <v>432.12</v>
      </c>
      <c r="J75" s="79">
        <v>11.152823904473191</v>
      </c>
      <c r="K75" s="73">
        <f t="shared" si="5"/>
        <v>218.51</v>
      </c>
      <c r="L75" s="55">
        <f t="shared" si="8"/>
        <v>18</v>
      </c>
      <c r="M75" s="8">
        <f t="shared" si="6"/>
        <v>1.4282462475762727</v>
      </c>
      <c r="N75" s="97">
        <f t="shared" si="7"/>
        <v>152.99182502373836</v>
      </c>
    </row>
    <row r="76" spans="3:14" x14ac:dyDescent="0.2">
      <c r="C76" s="78">
        <v>2037</v>
      </c>
      <c r="D76" s="79">
        <v>260.68</v>
      </c>
      <c r="E76" s="79">
        <v>4501</v>
      </c>
      <c r="F76" s="79">
        <v>5946</v>
      </c>
      <c r="G76" s="79">
        <v>998.84</v>
      </c>
      <c r="H76" s="79">
        <v>1070.6199999999999</v>
      </c>
      <c r="I76" s="79">
        <v>554.04</v>
      </c>
      <c r="J76" s="79">
        <v>14.306622000000001</v>
      </c>
      <c r="K76" s="73">
        <f t="shared" si="5"/>
        <v>260.68</v>
      </c>
      <c r="L76" s="55">
        <f t="shared" si="8"/>
        <v>19</v>
      </c>
      <c r="M76" s="8">
        <f t="shared" si="6"/>
        <v>1.4568111725277981</v>
      </c>
      <c r="N76" s="97">
        <f t="shared" si="7"/>
        <v>178.93877045690067</v>
      </c>
    </row>
    <row r="77" spans="3:14" x14ac:dyDescent="0.2">
      <c r="C77" s="78">
        <v>2038</v>
      </c>
      <c r="D77" s="79">
        <v>273.25</v>
      </c>
      <c r="E77" s="79">
        <v>4605</v>
      </c>
      <c r="F77" s="79">
        <v>6019</v>
      </c>
      <c r="G77" s="79">
        <v>1044.46</v>
      </c>
      <c r="H77" s="79">
        <v>1114.1400000000001</v>
      </c>
      <c r="I77" s="79">
        <v>561.97</v>
      </c>
      <c r="J77" s="79">
        <v>14.554282026370576</v>
      </c>
      <c r="K77" s="73">
        <f t="shared" si="5"/>
        <v>273.25</v>
      </c>
      <c r="L77" s="55">
        <f t="shared" si="8"/>
        <v>20</v>
      </c>
      <c r="M77" s="8">
        <f t="shared" si="6"/>
        <v>1.4859473959783542</v>
      </c>
      <c r="N77" s="97">
        <f t="shared" si="7"/>
        <v>183.88941677177678</v>
      </c>
    </row>
    <row r="78" spans="3:14" x14ac:dyDescent="0.2">
      <c r="C78" s="78">
        <v>2039</v>
      </c>
      <c r="D78" s="79">
        <v>287.95</v>
      </c>
      <c r="E78" s="79">
        <v>4731</v>
      </c>
      <c r="F78" s="79">
        <v>6114</v>
      </c>
      <c r="G78" s="79">
        <v>1094.3699999999999</v>
      </c>
      <c r="H78" s="79">
        <v>1161.46</v>
      </c>
      <c r="I78" s="79">
        <v>591.46</v>
      </c>
      <c r="J78" s="79">
        <v>15.358424000000001</v>
      </c>
      <c r="K78" s="73">
        <f t="shared" si="5"/>
        <v>287.95</v>
      </c>
      <c r="L78" s="55">
        <f t="shared" si="8"/>
        <v>21</v>
      </c>
      <c r="M78" s="8">
        <f t="shared" si="6"/>
        <v>1.5156663438979212</v>
      </c>
      <c r="N78" s="97">
        <f t="shared" si="7"/>
        <v>189.9824464396718</v>
      </c>
    </row>
    <row r="79" spans="3:14" x14ac:dyDescent="0.2">
      <c r="C79" s="78">
        <v>2040</v>
      </c>
      <c r="D79" s="79">
        <v>295.76</v>
      </c>
      <c r="E79" s="79">
        <v>4786</v>
      </c>
      <c r="F79" s="79">
        <v>6115</v>
      </c>
      <c r="G79" s="79">
        <v>1141.47</v>
      </c>
      <c r="H79" s="79">
        <v>1203.5899999999999</v>
      </c>
      <c r="I79" s="79">
        <v>598.72</v>
      </c>
      <c r="J79" s="79">
        <v>15.597894</v>
      </c>
      <c r="K79" s="73">
        <f t="shared" si="5"/>
        <v>295.76</v>
      </c>
      <c r="L79" s="55">
        <f t="shared" si="8"/>
        <v>22</v>
      </c>
      <c r="M79" s="8">
        <f t="shared" si="6"/>
        <v>1.5459796707758797</v>
      </c>
      <c r="N79" s="97">
        <f t="shared" si="7"/>
        <v>191.30911330261355</v>
      </c>
    </row>
    <row r="80" spans="3:14" x14ac:dyDescent="0.2">
      <c r="C80" s="78">
        <v>2041</v>
      </c>
      <c r="D80" s="79">
        <v>304.69</v>
      </c>
      <c r="E80" s="79">
        <v>4844</v>
      </c>
      <c r="F80" s="79">
        <v>6147</v>
      </c>
      <c r="G80" s="79">
        <v>1190.54</v>
      </c>
      <c r="H80" s="79">
        <v>1249.57</v>
      </c>
      <c r="I80" s="79">
        <v>622.21</v>
      </c>
      <c r="J80" s="79">
        <v>16.261829355962714</v>
      </c>
      <c r="K80" s="73">
        <f t="shared" si="5"/>
        <v>304.69</v>
      </c>
      <c r="L80" s="55">
        <f t="shared" si="8"/>
        <v>23</v>
      </c>
      <c r="M80" s="8">
        <f t="shared" si="6"/>
        <v>1.576899264191397</v>
      </c>
      <c r="N80" s="97">
        <f t="shared" si="7"/>
        <v>193.22096656328839</v>
      </c>
    </row>
    <row r="81" spans="3:14" x14ac:dyDescent="0.2">
      <c r="C81" s="78">
        <v>2042</v>
      </c>
      <c r="D81" s="79">
        <v>307.25</v>
      </c>
      <c r="E81" s="79">
        <v>4832</v>
      </c>
      <c r="F81" s="79">
        <v>6114</v>
      </c>
      <c r="G81" s="79">
        <v>1234.79</v>
      </c>
      <c r="H81" s="79">
        <v>1290.55</v>
      </c>
      <c r="I81" s="79">
        <v>627.27</v>
      </c>
      <c r="J81" s="79">
        <v>16.452881706542531</v>
      </c>
      <c r="K81" s="73">
        <f t="shared" si="5"/>
        <v>307.25</v>
      </c>
      <c r="L81" s="55">
        <f t="shared" si="8"/>
        <v>24</v>
      </c>
      <c r="M81" s="8">
        <f t="shared" si="6"/>
        <v>1.608437249475225</v>
      </c>
      <c r="N81" s="97">
        <f t="shared" si="7"/>
        <v>191.02392716921011</v>
      </c>
    </row>
    <row r="82" spans="3:14" x14ac:dyDescent="0.2">
      <c r="C82" s="78">
        <v>2043</v>
      </c>
      <c r="D82" s="79">
        <v>309.5</v>
      </c>
      <c r="E82" s="79">
        <v>4816</v>
      </c>
      <c r="F82" s="79">
        <v>6079</v>
      </c>
      <c r="G82" s="79">
        <v>1280.3</v>
      </c>
      <c r="H82" s="79">
        <v>1332.56</v>
      </c>
      <c r="I82" s="79">
        <v>632.28</v>
      </c>
      <c r="J82" s="79">
        <v>16.644719999999996</v>
      </c>
      <c r="K82" s="73">
        <f t="shared" si="5"/>
        <v>309.5</v>
      </c>
      <c r="L82" s="55">
        <f t="shared" si="8"/>
        <v>25</v>
      </c>
      <c r="M82" s="8">
        <f t="shared" si="6"/>
        <v>1.6406059944647295</v>
      </c>
      <c r="N82" s="97">
        <f t="shared" si="7"/>
        <v>188.64980442850245</v>
      </c>
    </row>
    <row r="83" spans="3:14" x14ac:dyDescent="0.2">
      <c r="C83" s="78">
        <v>2044</v>
      </c>
      <c r="D83" s="79">
        <v>311.99</v>
      </c>
      <c r="E83" s="79">
        <v>4803</v>
      </c>
      <c r="F83" s="79">
        <v>6047</v>
      </c>
      <c r="G83" s="79">
        <v>1327.73</v>
      </c>
      <c r="H83" s="79">
        <v>1376.17</v>
      </c>
      <c r="I83" s="79">
        <v>637.57000000000005</v>
      </c>
      <c r="J83" s="79">
        <v>16.848736000000002</v>
      </c>
      <c r="K83" s="73">
        <f t="shared" si="5"/>
        <v>311.99</v>
      </c>
      <c r="L83" s="55">
        <f t="shared" si="8"/>
        <v>26</v>
      </c>
      <c r="M83" s="8">
        <f t="shared" si="6"/>
        <v>1.6734181143540243</v>
      </c>
      <c r="N83" s="97">
        <f t="shared" si="7"/>
        <v>186.43876107462535</v>
      </c>
    </row>
    <row r="84" spans="3:14" x14ac:dyDescent="0.2">
      <c r="C84" s="78">
        <v>2045</v>
      </c>
      <c r="D84" s="79">
        <v>314.92</v>
      </c>
      <c r="E84" s="79">
        <v>4795</v>
      </c>
      <c r="F84" s="79">
        <v>6021</v>
      </c>
      <c r="G84" s="79">
        <v>1377.43</v>
      </c>
      <c r="H84" s="79">
        <v>1421.73</v>
      </c>
      <c r="I84" s="79">
        <v>643.12</v>
      </c>
      <c r="J84" s="79">
        <v>17.062082</v>
      </c>
      <c r="K84" s="73">
        <f t="shared" si="5"/>
        <v>314.92</v>
      </c>
      <c r="L84" s="55">
        <f t="shared" si="8"/>
        <v>27</v>
      </c>
      <c r="M84" s="8">
        <f t="shared" si="6"/>
        <v>1.7068864766411045</v>
      </c>
      <c r="N84" s="97">
        <f t="shared" si="7"/>
        <v>184.49967488155107</v>
      </c>
    </row>
    <row r="85" spans="3:14" x14ac:dyDescent="0.2">
      <c r="C85" s="78">
        <v>2046</v>
      </c>
      <c r="D85" s="79">
        <v>318.39</v>
      </c>
      <c r="E85" s="79">
        <v>4791</v>
      </c>
      <c r="F85" s="79">
        <v>6000</v>
      </c>
      <c r="G85" s="79">
        <v>1429.95</v>
      </c>
      <c r="H85" s="79">
        <v>1469.46</v>
      </c>
      <c r="I85" s="79">
        <v>648.99</v>
      </c>
      <c r="J85" s="79">
        <v>17.286890366051342</v>
      </c>
      <c r="K85" s="73">
        <f t="shared" si="5"/>
        <v>318.39</v>
      </c>
      <c r="L85" s="55">
        <f t="shared" si="8"/>
        <v>28</v>
      </c>
      <c r="M85" s="8">
        <f t="shared" si="6"/>
        <v>1.7410242061739269</v>
      </c>
      <c r="N85" s="97">
        <f t="shared" si="7"/>
        <v>182.87511389614366</v>
      </c>
    </row>
    <row r="86" spans="3:14" x14ac:dyDescent="0.2">
      <c r="C86" s="78">
        <v>2047</v>
      </c>
      <c r="D86" s="79">
        <v>341.36</v>
      </c>
      <c r="E86" s="79">
        <v>4957</v>
      </c>
      <c r="F86" s="79">
        <v>6142</v>
      </c>
      <c r="G86" s="79">
        <v>1500.94</v>
      </c>
      <c r="H86" s="79">
        <v>1532.6</v>
      </c>
      <c r="I86" s="79">
        <v>661.07</v>
      </c>
      <c r="J86" s="79">
        <v>17.676618000000001</v>
      </c>
      <c r="K86" s="73">
        <f t="shared" si="5"/>
        <v>341.36</v>
      </c>
      <c r="L86" s="55">
        <f t="shared" si="8"/>
        <v>29</v>
      </c>
      <c r="M86" s="8">
        <f t="shared" si="6"/>
        <v>1.7758446902974052</v>
      </c>
      <c r="N86" s="97">
        <f t="shared" si="7"/>
        <v>192.22401703542644</v>
      </c>
    </row>
    <row r="87" spans="3:14" x14ac:dyDescent="0.2">
      <c r="C87" s="78">
        <v>2048</v>
      </c>
      <c r="D87" s="79">
        <v>346.95</v>
      </c>
      <c r="E87" s="79">
        <v>4972</v>
      </c>
      <c r="F87" s="79">
        <v>6134</v>
      </c>
      <c r="G87" s="79">
        <v>1561.86</v>
      </c>
      <c r="H87" s="79">
        <v>1585.2</v>
      </c>
      <c r="I87" s="79">
        <v>668.74</v>
      </c>
      <c r="J87" s="79">
        <v>17.953054460903502</v>
      </c>
      <c r="K87" s="73">
        <f t="shared" si="5"/>
        <v>346.95</v>
      </c>
      <c r="L87" s="55">
        <f t="shared" si="8"/>
        <v>30</v>
      </c>
      <c r="M87" s="8">
        <f t="shared" si="6"/>
        <v>1.8113615841033535</v>
      </c>
      <c r="N87" s="97">
        <f t="shared" si="7"/>
        <v>191.54099493158046</v>
      </c>
    </row>
    <row r="88" spans="3:14" x14ac:dyDescent="0.2">
      <c r="C88" s="78">
        <v>2049</v>
      </c>
      <c r="D88" s="79">
        <v>352.46</v>
      </c>
      <c r="E88" s="79">
        <v>4985</v>
      </c>
      <c r="F88" s="79">
        <v>6127</v>
      </c>
      <c r="G88" s="79">
        <v>1625.46</v>
      </c>
      <c r="H88" s="79">
        <v>1639.5</v>
      </c>
      <c r="I88" s="79">
        <v>676.7</v>
      </c>
      <c r="J88" s="79">
        <v>18.237662000000004</v>
      </c>
      <c r="K88" s="73">
        <f t="shared" si="5"/>
        <v>352.46</v>
      </c>
      <c r="L88" s="55">
        <f t="shared" si="8"/>
        <v>31</v>
      </c>
      <c r="M88" s="8">
        <f t="shared" si="6"/>
        <v>1.8475888157854201</v>
      </c>
      <c r="N88" s="97">
        <f t="shared" si="7"/>
        <v>190.76755444103904</v>
      </c>
    </row>
    <row r="89" spans="3:14" x14ac:dyDescent="0.2">
      <c r="C89" s="78">
        <v>2050</v>
      </c>
      <c r="D89" s="79">
        <v>358.04</v>
      </c>
      <c r="E89" s="79">
        <v>4997</v>
      </c>
      <c r="F89" s="79">
        <v>6121</v>
      </c>
      <c r="G89" s="79">
        <v>1692.03</v>
      </c>
      <c r="H89" s="79">
        <v>1695.75</v>
      </c>
      <c r="I89" s="79">
        <v>685</v>
      </c>
      <c r="J89" s="79">
        <v>18.533112000000003</v>
      </c>
      <c r="K89" s="73">
        <f t="shared" si="5"/>
        <v>358.04</v>
      </c>
      <c r="L89" s="55">
        <f t="shared" si="8"/>
        <v>32</v>
      </c>
      <c r="M89" s="8">
        <f t="shared" si="6"/>
        <v>1.8845405921011289</v>
      </c>
      <c r="N89" s="97">
        <f t="shared" si="7"/>
        <v>189.98794799151068</v>
      </c>
    </row>
    <row r="90" spans="3:14" x14ac:dyDescent="0.2">
      <c r="C90" s="78">
        <v>2051</v>
      </c>
      <c r="D90" s="79">
        <v>363.83</v>
      </c>
      <c r="E90" s="79">
        <v>5011</v>
      </c>
      <c r="F90" s="79">
        <v>6116</v>
      </c>
      <c r="G90" s="79">
        <v>1762.5</v>
      </c>
      <c r="H90" s="79">
        <v>1754.21</v>
      </c>
      <c r="I90" s="79">
        <v>693.8</v>
      </c>
      <c r="J90" s="79">
        <v>18.84376160221392</v>
      </c>
      <c r="K90" s="73">
        <f t="shared" si="5"/>
        <v>363.83</v>
      </c>
      <c r="L90" s="55">
        <f t="shared" si="8"/>
        <v>33</v>
      </c>
      <c r="M90" s="8">
        <f t="shared" si="6"/>
        <v>1.9222314039431516</v>
      </c>
      <c r="N90" s="97">
        <f t="shared" si="7"/>
        <v>189.27481844988105</v>
      </c>
    </row>
    <row r="91" spans="3:14" x14ac:dyDescent="0.2">
      <c r="C91" s="78">
        <v>2052</v>
      </c>
      <c r="D91" s="79">
        <v>369.85</v>
      </c>
      <c r="E91" s="79">
        <v>5027</v>
      </c>
      <c r="F91" s="79">
        <v>6113</v>
      </c>
      <c r="G91" s="79">
        <v>1836.97</v>
      </c>
      <c r="H91" s="79">
        <v>1815.01</v>
      </c>
      <c r="I91" s="79">
        <v>703.07</v>
      </c>
      <c r="J91" s="79">
        <v>19.169145350827787</v>
      </c>
      <c r="K91" s="73">
        <f t="shared" si="5"/>
        <v>369.85</v>
      </c>
      <c r="L91" s="55">
        <f t="shared" si="8"/>
        <v>34</v>
      </c>
      <c r="M91" s="8">
        <f t="shared" si="6"/>
        <v>1.9606760320220145</v>
      </c>
      <c r="N91" s="97">
        <f t="shared" si="7"/>
        <v>188.63391705695486</v>
      </c>
    </row>
    <row r="92" spans="3:14" x14ac:dyDescent="0.2">
      <c r="C92" s="78">
        <v>2053</v>
      </c>
      <c r="D92" s="79">
        <v>376.09</v>
      </c>
      <c r="E92" s="79">
        <v>5043</v>
      </c>
      <c r="F92" s="79">
        <v>6111</v>
      </c>
      <c r="G92" s="79">
        <v>1915.64</v>
      </c>
      <c r="H92" s="79">
        <v>1878.3</v>
      </c>
      <c r="I92" s="79">
        <v>712.82</v>
      </c>
      <c r="J92" s="79">
        <v>19.507711339057241</v>
      </c>
      <c r="K92" s="73">
        <f t="shared" si="5"/>
        <v>376.09</v>
      </c>
      <c r="L92" s="55">
        <f t="shared" si="8"/>
        <v>35</v>
      </c>
      <c r="M92" s="8">
        <f t="shared" si="6"/>
        <v>1.9998895526624547</v>
      </c>
      <c r="N92" s="97">
        <f t="shared" si="7"/>
        <v>188.05538510829811</v>
      </c>
    </row>
    <row r="93" spans="3:14" x14ac:dyDescent="0.2">
      <c r="C93" s="78">
        <v>2054</v>
      </c>
      <c r="D93" s="79">
        <v>382.58</v>
      </c>
      <c r="E93" s="79">
        <v>5062</v>
      </c>
      <c r="F93" s="79">
        <v>6110</v>
      </c>
      <c r="G93" s="79">
        <v>1998.86</v>
      </c>
      <c r="H93" s="79">
        <v>1944.25</v>
      </c>
      <c r="I93" s="79">
        <v>723.11</v>
      </c>
      <c r="J93" s="79">
        <v>19.863569999999996</v>
      </c>
      <c r="K93" s="73">
        <f t="shared" si="5"/>
        <v>382.58</v>
      </c>
      <c r="L93" s="55">
        <f t="shared" si="8"/>
        <v>36</v>
      </c>
      <c r="M93" s="8">
        <f t="shared" si="6"/>
        <v>2.0398873437157037</v>
      </c>
      <c r="N93" s="97">
        <f t="shared" si="7"/>
        <v>187.54957286176469</v>
      </c>
    </row>
    <row r="94" spans="3:14" x14ac:dyDescent="0.2">
      <c r="C94" s="78">
        <v>2055</v>
      </c>
      <c r="D94" s="79">
        <v>389.29</v>
      </c>
      <c r="E94" s="79">
        <v>5081</v>
      </c>
      <c r="F94" s="79">
        <v>6111</v>
      </c>
      <c r="G94" s="79">
        <v>2086.87</v>
      </c>
      <c r="H94" s="79">
        <v>2012.99</v>
      </c>
      <c r="I94" s="79">
        <v>733.98</v>
      </c>
      <c r="J94" s="79">
        <v>20.238014</v>
      </c>
      <c r="K94" s="73">
        <f t="shared" si="5"/>
        <v>389.29</v>
      </c>
      <c r="L94" s="55">
        <f t="shared" si="8"/>
        <v>37</v>
      </c>
      <c r="M94" s="8">
        <f t="shared" si="6"/>
        <v>2.080685090590018</v>
      </c>
      <c r="N94" s="97">
        <f t="shared" si="7"/>
        <v>187.09702960845911</v>
      </c>
    </row>
    <row r="95" spans="3:14" x14ac:dyDescent="0.2">
      <c r="C95" s="78">
        <v>2056</v>
      </c>
      <c r="D95" s="79">
        <v>396.18</v>
      </c>
      <c r="E95" s="79">
        <v>5101</v>
      </c>
      <c r="F95" s="79">
        <v>6113</v>
      </c>
      <c r="G95" s="79">
        <v>2180.0700000000002</v>
      </c>
      <c r="H95" s="79">
        <v>2084.54</v>
      </c>
      <c r="I95" s="79">
        <v>745.26</v>
      </c>
      <c r="J95" s="79">
        <v>20.627109222644144</v>
      </c>
      <c r="K95" s="73">
        <f t="shared" si="5"/>
        <v>396.18</v>
      </c>
      <c r="L95" s="55">
        <f t="shared" si="8"/>
        <v>38</v>
      </c>
      <c r="M95" s="8">
        <f t="shared" si="6"/>
        <v>2.1222987924018186</v>
      </c>
      <c r="N95" s="97">
        <f t="shared" si="7"/>
        <v>186.67494012548565</v>
      </c>
    </row>
    <row r="96" spans="3:14" x14ac:dyDescent="0.2">
      <c r="C96" s="78">
        <v>2057</v>
      </c>
      <c r="D96" s="79">
        <v>1189.48</v>
      </c>
      <c r="E96" s="79">
        <v>11644</v>
      </c>
      <c r="F96" s="79">
        <v>12408</v>
      </c>
      <c r="G96" s="79">
        <v>9428.42</v>
      </c>
      <c r="H96" s="79">
        <v>10410.77</v>
      </c>
      <c r="I96" s="79">
        <v>2678.83</v>
      </c>
      <c r="J96" s="79">
        <v>75.181139999999999</v>
      </c>
      <c r="K96" s="73">
        <f t="shared" si="5"/>
        <v>1189.48</v>
      </c>
      <c r="L96" s="55">
        <f t="shared" si="8"/>
        <v>39</v>
      </c>
      <c r="M96" s="8">
        <f t="shared" si="6"/>
        <v>2.1647447682498542</v>
      </c>
      <c r="N96" s="97">
        <f t="shared" si="7"/>
        <v>549.47817287562589</v>
      </c>
    </row>
    <row r="97" spans="3:14" x14ac:dyDescent="0.2">
      <c r="C97" s="78">
        <v>2058</v>
      </c>
      <c r="D97" s="79">
        <v>1259.1099999999999</v>
      </c>
      <c r="E97" s="79">
        <v>12140</v>
      </c>
      <c r="F97" s="79">
        <v>12764</v>
      </c>
      <c r="G97" s="79">
        <v>9673.34</v>
      </c>
      <c r="H97" s="79">
        <v>10590.84</v>
      </c>
      <c r="I97" s="79">
        <v>2648.11</v>
      </c>
      <c r="J97" s="79">
        <v>74.660185937630729</v>
      </c>
      <c r="K97" s="73">
        <f t="shared" si="5"/>
        <v>1259.1099999999999</v>
      </c>
      <c r="L97" s="55">
        <f t="shared" si="8"/>
        <v>40</v>
      </c>
      <c r="M97" s="8">
        <f t="shared" si="6"/>
        <v>2.2080396636148518</v>
      </c>
      <c r="N97" s="97">
        <f t="shared" si="7"/>
        <v>570.238850663883</v>
      </c>
    </row>
    <row r="98" spans="3:14" x14ac:dyDescent="0.2">
      <c r="C98" s="78">
        <v>2059</v>
      </c>
      <c r="D98" s="79">
        <v>1248.1199999999999</v>
      </c>
      <c r="E98" s="79">
        <v>11952</v>
      </c>
      <c r="F98" s="79">
        <v>12500</v>
      </c>
      <c r="G98" s="79">
        <v>9811.7099999999991</v>
      </c>
      <c r="H98" s="79">
        <v>10668.55</v>
      </c>
      <c r="I98" s="79">
        <v>2611.62</v>
      </c>
      <c r="J98" s="79">
        <v>73.921534097166486</v>
      </c>
      <c r="K98" s="73">
        <f t="shared" si="5"/>
        <v>1248.1199999999999</v>
      </c>
      <c r="L98" s="55">
        <f t="shared" si="8"/>
        <v>41</v>
      </c>
      <c r="M98" s="8">
        <f t="shared" si="6"/>
        <v>2.2522004568871488</v>
      </c>
      <c r="N98" s="97">
        <f t="shared" si="7"/>
        <v>554.1780245107816</v>
      </c>
    </row>
    <row r="99" spans="3:14" x14ac:dyDescent="0.2">
      <c r="C99" s="78">
        <v>2060</v>
      </c>
      <c r="D99" s="79">
        <v>1189.69</v>
      </c>
      <c r="E99" s="79">
        <v>11376</v>
      </c>
      <c r="F99" s="79">
        <v>11896</v>
      </c>
      <c r="G99" s="79">
        <v>9868.5</v>
      </c>
      <c r="H99" s="79">
        <v>10676.89</v>
      </c>
      <c r="I99" s="79">
        <v>2557.46</v>
      </c>
      <c r="J99" s="79">
        <v>72.678834000000009</v>
      </c>
      <c r="K99" s="73">
        <f t="shared" si="5"/>
        <v>1189.69</v>
      </c>
      <c r="L99" s="55">
        <f t="shared" si="8"/>
        <v>42</v>
      </c>
      <c r="M99" s="8">
        <f t="shared" si="6"/>
        <v>2.2972444660248916</v>
      </c>
      <c r="N99" s="97">
        <f t="shared" si="7"/>
        <v>517.87696851376779</v>
      </c>
    </row>
    <row r="100" spans="3:14" x14ac:dyDescent="0.2">
      <c r="C100" s="98"/>
      <c r="D100" s="99"/>
      <c r="E100" s="99"/>
      <c r="F100" s="99"/>
      <c r="G100" s="99"/>
      <c r="H100" s="99"/>
      <c r="I100" s="99"/>
      <c r="J100" s="104"/>
      <c r="N100" s="97">
        <f>SUM(N57:N99)</f>
        <v>9753.4492677079925</v>
      </c>
    </row>
    <row r="101" spans="3:14" x14ac:dyDescent="0.2">
      <c r="D101" s="73">
        <f>SUM(D57:D99)</f>
        <v>16047.520000000002</v>
      </c>
      <c r="N101" s="97"/>
    </row>
    <row r="102" spans="3:14" x14ac:dyDescent="0.2">
      <c r="M102" t="s">
        <v>426</v>
      </c>
      <c r="N102" s="97">
        <f>N100/N50</f>
        <v>5.6144659069877942</v>
      </c>
    </row>
    <row r="103" spans="3:14" ht="15.75" x14ac:dyDescent="0.25">
      <c r="C103" s="74" t="s">
        <v>398</v>
      </c>
      <c r="D103" s="75"/>
      <c r="E103" s="75"/>
      <c r="F103" s="75"/>
      <c r="G103" s="75"/>
      <c r="H103" s="75"/>
      <c r="I103" s="75"/>
      <c r="J103" s="80"/>
      <c r="K103" s="95"/>
      <c r="L103" s="105"/>
    </row>
    <row r="104" spans="3:14" ht="76.5" x14ac:dyDescent="0.2">
      <c r="C104" s="76"/>
      <c r="D104" s="82" t="s">
        <v>376</v>
      </c>
      <c r="E104" s="82" t="s">
        <v>377</v>
      </c>
      <c r="F104" s="82" t="s">
        <v>378</v>
      </c>
      <c r="G104" s="82" t="s">
        <v>379</v>
      </c>
      <c r="H104" s="82" t="s">
        <v>380</v>
      </c>
      <c r="I104" s="82" t="s">
        <v>381</v>
      </c>
      <c r="J104" s="82" t="s">
        <v>382</v>
      </c>
    </row>
    <row r="105" spans="3:14" x14ac:dyDescent="0.2">
      <c r="C105" s="83"/>
      <c r="D105" s="83"/>
      <c r="E105" s="83"/>
      <c r="F105" s="83"/>
      <c r="G105" s="83"/>
      <c r="H105" s="83"/>
      <c r="I105" s="83"/>
      <c r="J105" s="83"/>
    </row>
    <row r="106" spans="3:14" ht="51" x14ac:dyDescent="0.2">
      <c r="C106" s="77" t="s">
        <v>325</v>
      </c>
      <c r="D106" s="76" t="s">
        <v>352</v>
      </c>
      <c r="E106" s="76" t="s">
        <v>56</v>
      </c>
      <c r="F106" s="76" t="s">
        <v>56</v>
      </c>
      <c r="G106" s="76" t="s">
        <v>213</v>
      </c>
      <c r="H106" s="76" t="s">
        <v>213</v>
      </c>
      <c r="I106" s="76" t="s">
        <v>352</v>
      </c>
      <c r="J106" s="76" t="s">
        <v>352</v>
      </c>
    </row>
    <row r="107" spans="3:14" x14ac:dyDescent="0.2">
      <c r="C107" s="78">
        <v>2018</v>
      </c>
      <c r="D107" s="86">
        <v>96.03</v>
      </c>
      <c r="E107" s="85">
        <v>2374</v>
      </c>
      <c r="F107" s="85">
        <v>2313</v>
      </c>
      <c r="G107" s="86">
        <v>77.31</v>
      </c>
      <c r="H107" s="86">
        <v>75.52</v>
      </c>
      <c r="I107" s="86">
        <v>13.85</v>
      </c>
      <c r="J107" s="86">
        <v>-0.33425533959537562</v>
      </c>
    </row>
    <row r="108" spans="3:14" x14ac:dyDescent="0.2">
      <c r="C108" s="78">
        <v>2019</v>
      </c>
      <c r="D108" s="86">
        <v>312.87</v>
      </c>
      <c r="E108" s="85">
        <v>6633</v>
      </c>
      <c r="F108" s="85">
        <v>6303</v>
      </c>
      <c r="G108" s="86">
        <v>438.46</v>
      </c>
      <c r="H108" s="86">
        <v>455.21</v>
      </c>
      <c r="I108" s="86">
        <v>268.60000000000002</v>
      </c>
      <c r="J108" s="86">
        <v>6.1215578121974827</v>
      </c>
    </row>
    <row r="109" spans="3:14" x14ac:dyDescent="0.2">
      <c r="C109" s="78">
        <v>2020</v>
      </c>
      <c r="D109" s="86">
        <v>335.94</v>
      </c>
      <c r="E109" s="85">
        <v>6948</v>
      </c>
      <c r="F109" s="85">
        <v>6520</v>
      </c>
      <c r="G109" s="86">
        <v>490.02</v>
      </c>
      <c r="H109" s="86">
        <v>488.79</v>
      </c>
      <c r="I109" s="86">
        <v>287.83</v>
      </c>
      <c r="J109" s="86">
        <v>6.6081279999999989</v>
      </c>
    </row>
    <row r="110" spans="3:14" x14ac:dyDescent="0.2">
      <c r="C110" s="78">
        <v>2021</v>
      </c>
      <c r="D110" s="86">
        <v>340.21</v>
      </c>
      <c r="E110" s="85">
        <v>6979</v>
      </c>
      <c r="F110" s="85">
        <v>6497</v>
      </c>
      <c r="G110" s="86">
        <v>526.70000000000005</v>
      </c>
      <c r="H110" s="86">
        <v>511.18</v>
      </c>
      <c r="I110" s="86">
        <v>300.49</v>
      </c>
      <c r="J110" s="86">
        <v>6.9290800000000008</v>
      </c>
    </row>
    <row r="111" spans="3:14" x14ac:dyDescent="0.2">
      <c r="C111" s="78">
        <v>2022</v>
      </c>
      <c r="D111" s="86">
        <v>334.05</v>
      </c>
      <c r="E111" s="85">
        <v>6839</v>
      </c>
      <c r="F111" s="85">
        <v>6331</v>
      </c>
      <c r="G111" s="86">
        <v>554.54999999999995</v>
      </c>
      <c r="H111" s="86">
        <v>528.62</v>
      </c>
      <c r="I111" s="86">
        <v>306.7</v>
      </c>
      <c r="J111" s="86">
        <v>7.0939099999999984</v>
      </c>
    </row>
    <row r="112" spans="3:14" x14ac:dyDescent="0.2">
      <c r="C112" s="78">
        <v>2023</v>
      </c>
      <c r="D112" s="86">
        <v>322.94</v>
      </c>
      <c r="E112" s="85">
        <v>6643</v>
      </c>
      <c r="F112" s="85">
        <v>6125</v>
      </c>
      <c r="G112" s="86">
        <v>575.54</v>
      </c>
      <c r="H112" s="86">
        <v>541.23</v>
      </c>
      <c r="I112" s="86">
        <v>311.26</v>
      </c>
      <c r="J112" s="86">
        <v>7.2190901376252894</v>
      </c>
    </row>
    <row r="113" spans="3:10" x14ac:dyDescent="0.2">
      <c r="C113" s="78">
        <v>2024</v>
      </c>
      <c r="D113" s="86">
        <v>310.82</v>
      </c>
      <c r="E113" s="85">
        <v>6434</v>
      </c>
      <c r="F113" s="85">
        <v>5915</v>
      </c>
      <c r="G113" s="86">
        <v>593.24</v>
      </c>
      <c r="H113" s="86">
        <v>552.49</v>
      </c>
      <c r="I113" s="86">
        <v>315.27</v>
      </c>
      <c r="J113" s="86">
        <v>7.3296479999999997</v>
      </c>
    </row>
    <row r="114" spans="3:10" x14ac:dyDescent="0.2">
      <c r="C114" s="78">
        <v>2025</v>
      </c>
      <c r="D114" s="86">
        <v>298.2</v>
      </c>
      <c r="E114" s="85">
        <v>6226</v>
      </c>
      <c r="F114" s="85">
        <v>5712</v>
      </c>
      <c r="G114" s="86">
        <v>608.35</v>
      </c>
      <c r="H114" s="86">
        <v>562.29</v>
      </c>
      <c r="I114" s="86">
        <v>316.77</v>
      </c>
      <c r="J114" s="86">
        <v>7.3786298667087609</v>
      </c>
    </row>
    <row r="115" spans="3:10" x14ac:dyDescent="0.2">
      <c r="C115" s="78">
        <v>2026</v>
      </c>
      <c r="D115" s="86">
        <v>287.3</v>
      </c>
      <c r="E115" s="85">
        <v>6047</v>
      </c>
      <c r="F115" s="85">
        <v>5541</v>
      </c>
      <c r="G115" s="86">
        <v>622.12</v>
      </c>
      <c r="H115" s="86">
        <v>571.21</v>
      </c>
      <c r="I115" s="86">
        <v>318.64999999999998</v>
      </c>
      <c r="J115" s="86">
        <v>7.4357766475240066</v>
      </c>
    </row>
    <row r="116" spans="3:10" x14ac:dyDescent="0.2">
      <c r="C116" s="78">
        <v>2027</v>
      </c>
      <c r="D116" s="86">
        <v>279.04000000000002</v>
      </c>
      <c r="E116" s="85">
        <v>5903</v>
      </c>
      <c r="F116" s="85">
        <v>5405</v>
      </c>
      <c r="G116" s="86">
        <v>637.79999999999995</v>
      </c>
      <c r="H116" s="86">
        <v>582.54999999999995</v>
      </c>
      <c r="I116" s="86">
        <v>320.86</v>
      </c>
      <c r="J116" s="86">
        <v>7.5025640000000005</v>
      </c>
    </row>
    <row r="117" spans="3:10" x14ac:dyDescent="0.2">
      <c r="C117" s="78">
        <v>2028</v>
      </c>
      <c r="D117" s="86">
        <v>273.79000000000002</v>
      </c>
      <c r="E117" s="85">
        <v>5796</v>
      </c>
      <c r="F117" s="85">
        <v>5305</v>
      </c>
      <c r="G117" s="86">
        <v>655.41</v>
      </c>
      <c r="H117" s="86">
        <v>595.97</v>
      </c>
      <c r="I117" s="86">
        <v>324.64</v>
      </c>
      <c r="J117" s="86">
        <v>7.6041842343591162</v>
      </c>
    </row>
    <row r="118" spans="3:10" x14ac:dyDescent="0.2">
      <c r="C118" s="78">
        <v>2029</v>
      </c>
      <c r="D118" s="86">
        <v>249.04</v>
      </c>
      <c r="E118" s="85">
        <v>5395</v>
      </c>
      <c r="F118" s="85">
        <v>5131</v>
      </c>
      <c r="G118" s="86">
        <v>653.04</v>
      </c>
      <c r="H118" s="86">
        <v>604.99</v>
      </c>
      <c r="I118" s="86">
        <v>317.44</v>
      </c>
      <c r="J118" s="86">
        <v>7.4360099999999996</v>
      </c>
    </row>
    <row r="119" spans="3:10" x14ac:dyDescent="0.2">
      <c r="C119" s="78">
        <v>2030</v>
      </c>
      <c r="D119" s="86">
        <v>222.77</v>
      </c>
      <c r="E119" s="85">
        <v>4977</v>
      </c>
      <c r="F119" s="85">
        <v>4964</v>
      </c>
      <c r="G119" s="86">
        <v>646.94000000000005</v>
      </c>
      <c r="H119" s="86">
        <v>614.16</v>
      </c>
      <c r="I119" s="86">
        <v>308.27</v>
      </c>
      <c r="J119" s="86">
        <v>7.2175342605677191</v>
      </c>
    </row>
    <row r="120" spans="3:10" x14ac:dyDescent="0.2">
      <c r="C120" s="78">
        <v>2031</v>
      </c>
      <c r="D120" s="86">
        <v>222.04</v>
      </c>
      <c r="E120" s="85">
        <v>4938</v>
      </c>
      <c r="F120" s="85">
        <v>4932</v>
      </c>
      <c r="G120" s="86">
        <v>665.2</v>
      </c>
      <c r="H120" s="86">
        <v>631.52</v>
      </c>
      <c r="I120" s="86">
        <v>311.97000000000003</v>
      </c>
      <c r="J120" s="86">
        <v>7.3194613793191863</v>
      </c>
    </row>
    <row r="121" spans="3:10" x14ac:dyDescent="0.2">
      <c r="C121" s="78">
        <v>2032</v>
      </c>
      <c r="D121" s="86">
        <v>224.02</v>
      </c>
      <c r="E121" s="85">
        <v>4930</v>
      </c>
      <c r="F121" s="85">
        <v>4927</v>
      </c>
      <c r="G121" s="86">
        <v>687.69</v>
      </c>
      <c r="H121" s="86">
        <v>652.61</v>
      </c>
      <c r="I121" s="86">
        <v>317.10000000000002</v>
      </c>
      <c r="J121" s="86">
        <v>7.4565360000000016</v>
      </c>
    </row>
    <row r="122" spans="3:10" x14ac:dyDescent="0.2">
      <c r="C122" s="78">
        <v>2033</v>
      </c>
      <c r="D122" s="86">
        <v>214.28</v>
      </c>
      <c r="E122" s="85">
        <v>4715</v>
      </c>
      <c r="F122" s="85">
        <v>5011</v>
      </c>
      <c r="G122" s="86">
        <v>693.01</v>
      </c>
      <c r="H122" s="86">
        <v>678.74</v>
      </c>
      <c r="I122" s="86">
        <v>362.76</v>
      </c>
      <c r="J122" s="86">
        <v>8.6184319999999985</v>
      </c>
    </row>
    <row r="123" spans="3:10" x14ac:dyDescent="0.2">
      <c r="C123" s="78">
        <v>2034</v>
      </c>
      <c r="D123" s="86">
        <v>213.71</v>
      </c>
      <c r="E123" s="85">
        <v>4690</v>
      </c>
      <c r="F123" s="85">
        <v>5008</v>
      </c>
      <c r="G123" s="86">
        <v>733.35</v>
      </c>
      <c r="H123" s="86">
        <v>724.11</v>
      </c>
      <c r="I123" s="86">
        <v>375.25</v>
      </c>
      <c r="J123" s="86">
        <v>8.953068</v>
      </c>
    </row>
    <row r="124" spans="3:10" x14ac:dyDescent="0.2">
      <c r="C124" s="78">
        <v>2035</v>
      </c>
      <c r="D124" s="86">
        <v>218.39</v>
      </c>
      <c r="E124" s="85">
        <v>4715</v>
      </c>
      <c r="F124" s="85">
        <v>5030</v>
      </c>
      <c r="G124" s="86">
        <v>759.96</v>
      </c>
      <c r="H124" s="86">
        <v>750.83</v>
      </c>
      <c r="I124" s="86">
        <v>379.88</v>
      </c>
      <c r="J124" s="86">
        <v>9.0915346735107523</v>
      </c>
    </row>
    <row r="125" spans="3:10" x14ac:dyDescent="0.2">
      <c r="C125" s="78">
        <v>2036</v>
      </c>
      <c r="D125" s="86">
        <v>232.01</v>
      </c>
      <c r="E125" s="85">
        <v>4843</v>
      </c>
      <c r="F125" s="85">
        <v>5150</v>
      </c>
      <c r="G125" s="86">
        <v>833.89</v>
      </c>
      <c r="H125" s="86">
        <v>819.73</v>
      </c>
      <c r="I125" s="86">
        <v>405.99</v>
      </c>
      <c r="J125" s="86">
        <v>9.780568906645648</v>
      </c>
    </row>
    <row r="126" spans="3:10" x14ac:dyDescent="0.2">
      <c r="C126" s="78">
        <v>2037</v>
      </c>
      <c r="D126" s="86">
        <v>271.95</v>
      </c>
      <c r="E126" s="85">
        <v>5049</v>
      </c>
      <c r="F126" s="85">
        <v>5492</v>
      </c>
      <c r="G126" s="86">
        <v>1062.98</v>
      </c>
      <c r="H126" s="86">
        <v>1045.3499999999999</v>
      </c>
      <c r="I126" s="86">
        <v>526.28</v>
      </c>
      <c r="J126" s="86">
        <v>12.893060984817676</v>
      </c>
    </row>
    <row r="127" spans="3:10" x14ac:dyDescent="0.2">
      <c r="C127" s="78">
        <v>2038</v>
      </c>
      <c r="D127" s="86">
        <v>283.12</v>
      </c>
      <c r="E127" s="85">
        <v>5136</v>
      </c>
      <c r="F127" s="85">
        <v>5561</v>
      </c>
      <c r="G127" s="86">
        <v>1106.8900000000001</v>
      </c>
      <c r="H127" s="86">
        <v>1087.6300000000001</v>
      </c>
      <c r="I127" s="86">
        <v>532.79999999999995</v>
      </c>
      <c r="J127" s="86">
        <v>13.106783999999999</v>
      </c>
    </row>
    <row r="128" spans="3:10" x14ac:dyDescent="0.2">
      <c r="C128" s="78">
        <v>2039</v>
      </c>
      <c r="D128" s="86">
        <v>296.67</v>
      </c>
      <c r="E128" s="85">
        <v>5247</v>
      </c>
      <c r="F128" s="85">
        <v>5656</v>
      </c>
      <c r="G128" s="86">
        <v>1155.1500000000001</v>
      </c>
      <c r="H128" s="86">
        <v>1133.77</v>
      </c>
      <c r="I128" s="86">
        <v>561.16999999999996</v>
      </c>
      <c r="J128" s="86">
        <v>13.880799354622566</v>
      </c>
    </row>
    <row r="129" spans="3:10" x14ac:dyDescent="0.2">
      <c r="C129" s="78">
        <v>2040</v>
      </c>
      <c r="D129" s="86">
        <v>303.52</v>
      </c>
      <c r="E129" s="85">
        <v>5289</v>
      </c>
      <c r="F129" s="85">
        <v>5657</v>
      </c>
      <c r="G129" s="86">
        <v>1200.6199999999999</v>
      </c>
      <c r="H129" s="86">
        <v>1174.73</v>
      </c>
      <c r="I129" s="86">
        <v>567.19000000000005</v>
      </c>
      <c r="J129" s="86">
        <v>14.088299999999998</v>
      </c>
    </row>
    <row r="130" spans="3:10" x14ac:dyDescent="0.2">
      <c r="C130" s="78">
        <v>2041</v>
      </c>
      <c r="D130" s="86">
        <v>311.54000000000002</v>
      </c>
      <c r="E130" s="85">
        <v>5335</v>
      </c>
      <c r="F130" s="85">
        <v>5691</v>
      </c>
      <c r="G130" s="86">
        <v>1247.9000000000001</v>
      </c>
      <c r="H130" s="86">
        <v>1219.6099999999999</v>
      </c>
      <c r="I130" s="86">
        <v>589.6</v>
      </c>
      <c r="J130" s="86">
        <v>14.725228000000003</v>
      </c>
    </row>
    <row r="131" spans="3:10" x14ac:dyDescent="0.2">
      <c r="C131" s="78">
        <v>2042</v>
      </c>
      <c r="D131" s="86">
        <v>313.23</v>
      </c>
      <c r="E131" s="85">
        <v>5312</v>
      </c>
      <c r="F131" s="85">
        <v>5660</v>
      </c>
      <c r="G131" s="86">
        <v>1290.32</v>
      </c>
      <c r="H131" s="86">
        <v>1259.48</v>
      </c>
      <c r="I131" s="86">
        <v>593.47</v>
      </c>
      <c r="J131" s="86">
        <v>14.884460000000001</v>
      </c>
    </row>
    <row r="132" spans="3:10" x14ac:dyDescent="0.2">
      <c r="C132" s="78">
        <v>2043</v>
      </c>
      <c r="D132" s="86">
        <v>314.76</v>
      </c>
      <c r="E132" s="85">
        <v>5287</v>
      </c>
      <c r="F132" s="85">
        <v>5628</v>
      </c>
      <c r="G132" s="86">
        <v>1333.96</v>
      </c>
      <c r="H132" s="86">
        <v>1300.45</v>
      </c>
      <c r="I132" s="86">
        <v>597.34</v>
      </c>
      <c r="J132" s="86">
        <v>15.04618</v>
      </c>
    </row>
    <row r="133" spans="3:10" x14ac:dyDescent="0.2">
      <c r="C133" s="78">
        <v>2044</v>
      </c>
      <c r="D133" s="86">
        <v>316.63</v>
      </c>
      <c r="E133" s="85">
        <v>5266</v>
      </c>
      <c r="F133" s="85">
        <v>5601</v>
      </c>
      <c r="G133" s="86">
        <v>1379.43</v>
      </c>
      <c r="H133" s="86">
        <v>1343.05</v>
      </c>
      <c r="I133" s="86">
        <v>601.51</v>
      </c>
      <c r="J133" s="86">
        <v>15.219971029393182</v>
      </c>
    </row>
    <row r="134" spans="3:10" x14ac:dyDescent="0.2">
      <c r="C134" s="78">
        <v>2045</v>
      </c>
      <c r="D134" s="86">
        <v>319.01</v>
      </c>
      <c r="E134" s="85">
        <v>5250</v>
      </c>
      <c r="F134" s="85">
        <v>5579</v>
      </c>
      <c r="G134" s="86">
        <v>1427.08</v>
      </c>
      <c r="H134" s="86">
        <v>1387.63</v>
      </c>
      <c r="I134" s="86">
        <v>605.94000000000005</v>
      </c>
      <c r="J134" s="86">
        <v>15.402585999999999</v>
      </c>
    </row>
    <row r="135" spans="3:10" x14ac:dyDescent="0.2">
      <c r="C135" s="78">
        <v>2046</v>
      </c>
      <c r="D135" s="86">
        <v>321.99</v>
      </c>
      <c r="E135" s="85">
        <v>5240</v>
      </c>
      <c r="F135" s="85">
        <v>5563</v>
      </c>
      <c r="G135" s="86">
        <v>1477.39</v>
      </c>
      <c r="H135" s="86">
        <v>1434.37</v>
      </c>
      <c r="I135" s="86">
        <v>610.69000000000005</v>
      </c>
      <c r="J135" s="86">
        <v>15.595661377710098</v>
      </c>
    </row>
    <row r="136" spans="3:10" x14ac:dyDescent="0.2">
      <c r="C136" s="78">
        <v>2047</v>
      </c>
      <c r="D136" s="86">
        <v>344.48</v>
      </c>
      <c r="E136" s="85">
        <v>5399</v>
      </c>
      <c r="F136" s="85">
        <v>5710</v>
      </c>
      <c r="G136" s="86">
        <v>1546.11</v>
      </c>
      <c r="H136" s="86">
        <v>1496.55</v>
      </c>
      <c r="I136" s="86">
        <v>621.70000000000005</v>
      </c>
      <c r="J136" s="86">
        <v>15.955435284068976</v>
      </c>
    </row>
    <row r="137" spans="3:10" x14ac:dyDescent="0.2">
      <c r="C137" s="78">
        <v>2048</v>
      </c>
      <c r="D137" s="86">
        <v>349.63</v>
      </c>
      <c r="E137" s="85">
        <v>5408</v>
      </c>
      <c r="F137" s="85">
        <v>5708</v>
      </c>
      <c r="G137" s="86">
        <v>1604.56</v>
      </c>
      <c r="H137" s="86">
        <v>1548.19</v>
      </c>
      <c r="I137" s="86">
        <v>628.27</v>
      </c>
      <c r="J137" s="86">
        <v>16.199003835068282</v>
      </c>
    </row>
    <row r="138" spans="3:10" x14ac:dyDescent="0.2">
      <c r="C138" s="78">
        <v>2049</v>
      </c>
      <c r="D138" s="86">
        <v>354.7</v>
      </c>
      <c r="E138" s="85">
        <v>5415</v>
      </c>
      <c r="F138" s="85">
        <v>5706</v>
      </c>
      <c r="G138" s="86">
        <v>1665.38</v>
      </c>
      <c r="H138" s="86">
        <v>1601.48</v>
      </c>
      <c r="I138" s="86">
        <v>635.09</v>
      </c>
      <c r="J138" s="86">
        <v>16.451018965548734</v>
      </c>
    </row>
    <row r="139" spans="3:10" x14ac:dyDescent="0.2">
      <c r="C139" s="78">
        <v>2050</v>
      </c>
      <c r="D139" s="86">
        <v>359.82</v>
      </c>
      <c r="E139" s="85">
        <v>5421</v>
      </c>
      <c r="F139" s="85">
        <v>5704</v>
      </c>
      <c r="G139" s="86">
        <v>1728.83</v>
      </c>
      <c r="H139" s="86">
        <v>1656.66</v>
      </c>
      <c r="I139" s="86">
        <v>642.19000000000005</v>
      </c>
      <c r="J139" s="86">
        <v>16.71101378084709</v>
      </c>
    </row>
    <row r="140" spans="3:10" x14ac:dyDescent="0.2">
      <c r="C140" s="78">
        <v>2051</v>
      </c>
      <c r="D140" s="86">
        <v>365.16</v>
      </c>
      <c r="E140" s="85">
        <v>5429</v>
      </c>
      <c r="F140" s="85">
        <v>5705</v>
      </c>
      <c r="G140" s="86">
        <v>1795.93</v>
      </c>
      <c r="H140" s="86">
        <v>1714</v>
      </c>
      <c r="I140" s="86">
        <v>649.78</v>
      </c>
      <c r="J140" s="86">
        <v>16.984593389907197</v>
      </c>
    </row>
    <row r="141" spans="3:10" x14ac:dyDescent="0.2">
      <c r="C141" s="78">
        <v>2052</v>
      </c>
      <c r="D141" s="86">
        <v>370.71</v>
      </c>
      <c r="E141" s="85">
        <v>5438</v>
      </c>
      <c r="F141" s="85">
        <v>5706</v>
      </c>
      <c r="G141" s="86">
        <v>1866.69</v>
      </c>
      <c r="H141" s="86">
        <v>1773.62</v>
      </c>
      <c r="I141" s="86">
        <v>657.8</v>
      </c>
      <c r="J141" s="86">
        <v>17.272317999999999</v>
      </c>
    </row>
    <row r="142" spans="3:10" x14ac:dyDescent="0.2">
      <c r="C142" s="78">
        <v>2053</v>
      </c>
      <c r="D142" s="86">
        <v>376.47</v>
      </c>
      <c r="E142" s="85">
        <v>5449</v>
      </c>
      <c r="F142" s="85">
        <v>5709</v>
      </c>
      <c r="G142" s="86">
        <v>1941.27</v>
      </c>
      <c r="H142" s="86">
        <v>1835.66</v>
      </c>
      <c r="I142" s="86">
        <v>666.25</v>
      </c>
      <c r="J142" s="86">
        <v>17.572385750630403</v>
      </c>
    </row>
    <row r="143" spans="3:10" x14ac:dyDescent="0.2">
      <c r="C143" s="78">
        <v>2054</v>
      </c>
      <c r="D143" s="86">
        <v>382.43</v>
      </c>
      <c r="E143" s="85">
        <v>5461</v>
      </c>
      <c r="F143" s="85">
        <v>5713</v>
      </c>
      <c r="G143" s="86">
        <v>2019.99</v>
      </c>
      <c r="H143" s="86">
        <v>1900.27</v>
      </c>
      <c r="I143" s="86">
        <v>675.16</v>
      </c>
      <c r="J143" s="86">
        <v>17.886589076291898</v>
      </c>
    </row>
    <row r="144" spans="3:10" x14ac:dyDescent="0.2">
      <c r="C144" s="78">
        <v>2055</v>
      </c>
      <c r="D144" s="86">
        <v>388.55</v>
      </c>
      <c r="E144" s="85">
        <v>5473</v>
      </c>
      <c r="F144" s="85">
        <v>5717</v>
      </c>
      <c r="G144" s="86">
        <v>2102.96</v>
      </c>
      <c r="H144" s="86">
        <v>1967.54</v>
      </c>
      <c r="I144" s="86">
        <v>684.42</v>
      </c>
      <c r="J144" s="86">
        <v>18.211893907631165</v>
      </c>
    </row>
    <row r="145" spans="3:10" x14ac:dyDescent="0.2">
      <c r="C145" s="78">
        <v>2056</v>
      </c>
      <c r="D145" s="86">
        <v>394.83</v>
      </c>
      <c r="E145" s="85">
        <v>5486</v>
      </c>
      <c r="F145" s="85">
        <v>5723</v>
      </c>
      <c r="G145" s="86">
        <v>2190.61</v>
      </c>
      <c r="H145" s="86">
        <v>2037.51</v>
      </c>
      <c r="I145" s="86">
        <v>694.04</v>
      </c>
      <c r="J145" s="86">
        <v>18.549551269195852</v>
      </c>
    </row>
    <row r="146" spans="3:10" x14ac:dyDescent="0.2">
      <c r="C146" s="78">
        <v>2057</v>
      </c>
      <c r="D146" s="86">
        <v>1187.0899999999999</v>
      </c>
      <c r="E146" s="85">
        <v>12019</v>
      </c>
      <c r="F146" s="85">
        <v>12019</v>
      </c>
      <c r="G146" s="86">
        <v>9432.18</v>
      </c>
      <c r="H146" s="86">
        <v>10361.64</v>
      </c>
      <c r="I146" s="86">
        <v>2625.15</v>
      </c>
      <c r="J146" s="86">
        <v>73.021212160151464</v>
      </c>
    </row>
    <row r="147" spans="3:10" x14ac:dyDescent="0.2">
      <c r="C147" s="78">
        <v>2058</v>
      </c>
      <c r="D147" s="86">
        <v>1256.05</v>
      </c>
      <c r="E147" s="85">
        <v>12508</v>
      </c>
      <c r="F147" s="85">
        <v>12378</v>
      </c>
      <c r="G147" s="86">
        <v>9670.19</v>
      </c>
      <c r="H147" s="86">
        <v>10539.89</v>
      </c>
      <c r="I147" s="86">
        <v>2592.64</v>
      </c>
      <c r="J147" s="86">
        <v>72.445926570821342</v>
      </c>
    </row>
    <row r="148" spans="3:10" x14ac:dyDescent="0.2">
      <c r="C148" s="78">
        <v>2059</v>
      </c>
      <c r="D148" s="86">
        <v>1244.4000000000001</v>
      </c>
      <c r="E148" s="85">
        <v>12312</v>
      </c>
      <c r="F148" s="85">
        <v>12117</v>
      </c>
      <c r="G148" s="86">
        <v>9801.0300000000007</v>
      </c>
      <c r="H148" s="86">
        <v>10615.72</v>
      </c>
      <c r="I148" s="86">
        <v>2554.31</v>
      </c>
      <c r="J148" s="86">
        <v>71.649704505124674</v>
      </c>
    </row>
    <row r="149" spans="3:10" x14ac:dyDescent="0.2">
      <c r="C149" s="78">
        <v>2060</v>
      </c>
      <c r="D149" s="86">
        <v>1185.3399999999999</v>
      </c>
      <c r="E149" s="85">
        <v>11730</v>
      </c>
      <c r="F149" s="85">
        <v>11517</v>
      </c>
      <c r="G149" s="86">
        <v>9849.51</v>
      </c>
      <c r="H149" s="86">
        <v>10622.14</v>
      </c>
      <c r="I149" s="86">
        <v>2498.31</v>
      </c>
      <c r="J149" s="86">
        <v>70.349725589256707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64"/>
  <sheetViews>
    <sheetView topLeftCell="A16" workbookViewId="0">
      <selection activeCell="B37" sqref="B37:AW46"/>
    </sheetView>
  </sheetViews>
  <sheetFormatPr defaultRowHeight="12.75" x14ac:dyDescent="0.2"/>
  <cols>
    <col min="1" max="1" width="2.28515625" customWidth="1"/>
    <col min="2" max="2" width="40" customWidth="1"/>
    <col min="3" max="3" width="27.140625" customWidth="1"/>
    <col min="5" max="5" width="13.5703125" customWidth="1"/>
  </cols>
  <sheetData>
    <row r="2" spans="2:51" x14ac:dyDescent="0.2">
      <c r="B2" s="67" t="s">
        <v>370</v>
      </c>
    </row>
    <row r="3" spans="2:51" x14ac:dyDescent="0.2">
      <c r="B3" t="s">
        <v>344</v>
      </c>
      <c r="C3" t="s">
        <v>0</v>
      </c>
      <c r="D3">
        <v>2015</v>
      </c>
      <c r="E3">
        <v>2016</v>
      </c>
      <c r="F3">
        <v>2017</v>
      </c>
      <c r="G3">
        <v>2018</v>
      </c>
      <c r="H3">
        <v>2019</v>
      </c>
      <c r="I3">
        <v>2020</v>
      </c>
      <c r="J3">
        <v>2021</v>
      </c>
      <c r="K3">
        <v>2022</v>
      </c>
      <c r="L3">
        <v>2023</v>
      </c>
      <c r="M3">
        <v>2024</v>
      </c>
      <c r="N3">
        <v>2025</v>
      </c>
      <c r="O3">
        <v>2026</v>
      </c>
      <c r="P3">
        <v>2027</v>
      </c>
      <c r="Q3">
        <v>2028</v>
      </c>
      <c r="R3">
        <v>2029</v>
      </c>
      <c r="S3">
        <v>2030</v>
      </c>
      <c r="T3">
        <v>2031</v>
      </c>
      <c r="U3">
        <v>2032</v>
      </c>
      <c r="V3">
        <v>2033</v>
      </c>
      <c r="W3">
        <v>2034</v>
      </c>
      <c r="X3">
        <v>2035</v>
      </c>
      <c r="Y3">
        <v>2036</v>
      </c>
      <c r="Z3">
        <v>2037</v>
      </c>
      <c r="AA3">
        <v>2038</v>
      </c>
      <c r="AB3">
        <v>2039</v>
      </c>
      <c r="AC3">
        <v>2040</v>
      </c>
      <c r="AD3">
        <v>2041</v>
      </c>
      <c r="AE3">
        <v>2042</v>
      </c>
      <c r="AF3">
        <v>2043</v>
      </c>
      <c r="AG3">
        <v>2044</v>
      </c>
      <c r="AH3">
        <v>2045</v>
      </c>
      <c r="AI3">
        <v>2046</v>
      </c>
      <c r="AJ3">
        <v>2047</v>
      </c>
      <c r="AK3">
        <v>2048</v>
      </c>
      <c r="AL3">
        <v>2049</v>
      </c>
      <c r="AM3">
        <v>2050</v>
      </c>
      <c r="AN3">
        <v>2051</v>
      </c>
      <c r="AO3">
        <v>2052</v>
      </c>
      <c r="AP3">
        <v>2053</v>
      </c>
      <c r="AQ3">
        <v>2054</v>
      </c>
      <c r="AR3">
        <v>2055</v>
      </c>
      <c r="AS3">
        <v>2056</v>
      </c>
      <c r="AT3">
        <v>2057</v>
      </c>
      <c r="AU3">
        <v>2058</v>
      </c>
      <c r="AV3">
        <v>2059</v>
      </c>
      <c r="AW3">
        <v>2060</v>
      </c>
    </row>
    <row r="4" spans="2:51" x14ac:dyDescent="0.2">
      <c r="B4" t="s">
        <v>351</v>
      </c>
      <c r="C4" t="s">
        <v>352</v>
      </c>
      <c r="D4">
        <v>0</v>
      </c>
      <c r="E4">
        <v>0</v>
      </c>
      <c r="F4">
        <v>0</v>
      </c>
      <c r="G4">
        <v>93.46</v>
      </c>
      <c r="H4">
        <v>115.42</v>
      </c>
      <c r="I4">
        <v>115.42</v>
      </c>
      <c r="J4">
        <v>115.42</v>
      </c>
      <c r="K4">
        <v>115.42</v>
      </c>
      <c r="L4">
        <v>115.42</v>
      </c>
      <c r="M4">
        <v>115.42</v>
      </c>
      <c r="N4">
        <v>115.42</v>
      </c>
      <c r="O4">
        <v>115.42</v>
      </c>
      <c r="P4">
        <v>115.42</v>
      </c>
      <c r="Q4">
        <v>115.42</v>
      </c>
      <c r="R4">
        <v>115.42</v>
      </c>
      <c r="S4">
        <v>115.42</v>
      </c>
      <c r="T4">
        <v>115.42</v>
      </c>
      <c r="U4">
        <v>115.42</v>
      </c>
      <c r="V4">
        <v>115.42</v>
      </c>
      <c r="W4">
        <v>115.42</v>
      </c>
      <c r="X4">
        <v>115.42</v>
      </c>
      <c r="Y4">
        <v>115.42</v>
      </c>
      <c r="Z4">
        <v>115.42</v>
      </c>
      <c r="AA4">
        <v>115.42</v>
      </c>
      <c r="AB4">
        <v>115.42</v>
      </c>
      <c r="AC4">
        <v>115.42</v>
      </c>
      <c r="AD4">
        <v>115.42</v>
      </c>
      <c r="AE4">
        <v>115.42</v>
      </c>
      <c r="AF4">
        <v>115.42</v>
      </c>
      <c r="AG4">
        <v>115.42</v>
      </c>
      <c r="AH4">
        <v>115.42</v>
      </c>
      <c r="AI4">
        <v>115.42</v>
      </c>
      <c r="AJ4">
        <v>115.42</v>
      </c>
      <c r="AK4">
        <v>115.42</v>
      </c>
      <c r="AL4">
        <v>115.42</v>
      </c>
      <c r="AM4">
        <v>115.42</v>
      </c>
      <c r="AN4">
        <v>115.42</v>
      </c>
      <c r="AO4">
        <v>115.42</v>
      </c>
      <c r="AP4">
        <v>115.42</v>
      </c>
      <c r="AQ4">
        <v>115.42</v>
      </c>
      <c r="AR4">
        <v>115.42</v>
      </c>
      <c r="AS4">
        <v>115.42</v>
      </c>
      <c r="AT4">
        <v>115.42</v>
      </c>
      <c r="AU4">
        <v>115.42</v>
      </c>
      <c r="AV4">
        <v>115.42</v>
      </c>
      <c r="AW4">
        <v>115.42</v>
      </c>
      <c r="AY4" s="55"/>
    </row>
    <row r="5" spans="2:51" x14ac:dyDescent="0.2">
      <c r="B5" t="s">
        <v>345</v>
      </c>
      <c r="C5" t="s">
        <v>352</v>
      </c>
      <c r="D5">
        <v>0</v>
      </c>
      <c r="E5">
        <v>0</v>
      </c>
      <c r="F5">
        <v>0</v>
      </c>
      <c r="G5">
        <v>35.46</v>
      </c>
      <c r="H5">
        <v>248.24</v>
      </c>
      <c r="I5">
        <v>281.95</v>
      </c>
      <c r="J5">
        <v>295.02999999999997</v>
      </c>
      <c r="K5">
        <v>296.52</v>
      </c>
      <c r="L5">
        <v>291.55</v>
      </c>
      <c r="M5">
        <v>284.33999999999997</v>
      </c>
      <c r="N5">
        <v>275.52999999999997</v>
      </c>
      <c r="O5">
        <v>267.52999999999997</v>
      </c>
      <c r="P5">
        <v>261.64</v>
      </c>
      <c r="Q5">
        <v>258.20999999999998</v>
      </c>
      <c r="R5">
        <v>236.09</v>
      </c>
      <c r="S5">
        <v>212.38</v>
      </c>
      <c r="T5">
        <v>212.59</v>
      </c>
      <c r="U5">
        <v>215.3</v>
      </c>
      <c r="V5">
        <v>207.7</v>
      </c>
      <c r="W5">
        <v>197.85</v>
      </c>
      <c r="X5">
        <v>203.69</v>
      </c>
      <c r="Y5">
        <v>218.51</v>
      </c>
      <c r="Z5">
        <v>260.68</v>
      </c>
      <c r="AA5">
        <v>273.25</v>
      </c>
      <c r="AB5">
        <v>287.95</v>
      </c>
      <c r="AC5">
        <v>295.76</v>
      </c>
      <c r="AD5">
        <v>304.69</v>
      </c>
      <c r="AE5">
        <v>307.25</v>
      </c>
      <c r="AF5">
        <v>309.5</v>
      </c>
      <c r="AG5">
        <v>311.99</v>
      </c>
      <c r="AH5">
        <v>314.92</v>
      </c>
      <c r="AI5">
        <v>318.39</v>
      </c>
      <c r="AJ5">
        <v>341.36</v>
      </c>
      <c r="AK5">
        <v>346.95</v>
      </c>
      <c r="AL5">
        <v>352.46</v>
      </c>
      <c r="AM5">
        <v>358.04</v>
      </c>
      <c r="AN5">
        <v>363.83</v>
      </c>
      <c r="AO5">
        <v>369.85</v>
      </c>
      <c r="AP5">
        <v>376.09</v>
      </c>
      <c r="AQ5">
        <v>382.58</v>
      </c>
      <c r="AR5">
        <v>389.29</v>
      </c>
      <c r="AS5">
        <v>396.18</v>
      </c>
      <c r="AT5">
        <v>1189.48</v>
      </c>
      <c r="AU5">
        <v>1259.1099999999999</v>
      </c>
      <c r="AV5">
        <v>1248.1199999999999</v>
      </c>
      <c r="AW5">
        <v>1189.69</v>
      </c>
    </row>
    <row r="6" spans="2:51" x14ac:dyDescent="0.2">
      <c r="B6" t="s">
        <v>346</v>
      </c>
      <c r="C6" t="s">
        <v>56</v>
      </c>
      <c r="D6">
        <v>0</v>
      </c>
      <c r="E6">
        <v>0</v>
      </c>
      <c r="F6">
        <v>0</v>
      </c>
      <c r="G6">
        <v>1281</v>
      </c>
      <c r="H6">
        <v>5420</v>
      </c>
      <c r="I6">
        <v>5870</v>
      </c>
      <c r="J6">
        <v>6010</v>
      </c>
      <c r="K6">
        <v>5966</v>
      </c>
      <c r="L6">
        <v>5844</v>
      </c>
      <c r="M6">
        <v>5692</v>
      </c>
      <c r="N6">
        <v>5529</v>
      </c>
      <c r="O6">
        <v>5384</v>
      </c>
      <c r="P6">
        <v>5269</v>
      </c>
      <c r="Q6">
        <v>5184</v>
      </c>
      <c r="R6">
        <v>4818</v>
      </c>
      <c r="S6">
        <v>4436</v>
      </c>
      <c r="T6">
        <v>4407</v>
      </c>
      <c r="U6">
        <v>4409</v>
      </c>
      <c r="V6">
        <v>4226</v>
      </c>
      <c r="W6">
        <v>4080</v>
      </c>
      <c r="X6">
        <v>4121</v>
      </c>
      <c r="Y6">
        <v>4265</v>
      </c>
      <c r="Z6">
        <v>4501</v>
      </c>
      <c r="AA6">
        <v>4605</v>
      </c>
      <c r="AB6">
        <v>4731</v>
      </c>
      <c r="AC6">
        <v>4786</v>
      </c>
      <c r="AD6">
        <v>4844</v>
      </c>
      <c r="AE6">
        <v>4832</v>
      </c>
      <c r="AF6">
        <v>4816</v>
      </c>
      <c r="AG6">
        <v>4803</v>
      </c>
      <c r="AH6">
        <v>4795</v>
      </c>
      <c r="AI6">
        <v>4791</v>
      </c>
      <c r="AJ6">
        <v>4957</v>
      </c>
      <c r="AK6">
        <v>4972</v>
      </c>
      <c r="AL6">
        <v>4985</v>
      </c>
      <c r="AM6">
        <v>4997</v>
      </c>
      <c r="AN6">
        <v>5011</v>
      </c>
      <c r="AO6">
        <v>5027</v>
      </c>
      <c r="AP6">
        <v>5043</v>
      </c>
      <c r="AQ6">
        <v>5062</v>
      </c>
      <c r="AR6">
        <v>5081</v>
      </c>
      <c r="AS6">
        <v>5101</v>
      </c>
      <c r="AT6">
        <v>11644</v>
      </c>
      <c r="AU6">
        <v>12140</v>
      </c>
      <c r="AV6">
        <v>11952</v>
      </c>
      <c r="AW6">
        <v>11376</v>
      </c>
    </row>
    <row r="7" spans="2:51" x14ac:dyDescent="0.2">
      <c r="B7" t="s">
        <v>347</v>
      </c>
      <c r="C7" t="s">
        <v>56</v>
      </c>
      <c r="D7">
        <v>0</v>
      </c>
      <c r="E7">
        <v>0</v>
      </c>
      <c r="F7">
        <v>0</v>
      </c>
      <c r="G7">
        <v>2290</v>
      </c>
      <c r="H7">
        <v>6391</v>
      </c>
      <c r="I7">
        <v>6726</v>
      </c>
      <c r="J7">
        <v>6796</v>
      </c>
      <c r="K7">
        <v>6704</v>
      </c>
      <c r="L7">
        <v>6552</v>
      </c>
      <c r="M7">
        <v>6381</v>
      </c>
      <c r="N7">
        <v>6208</v>
      </c>
      <c r="O7">
        <v>6056</v>
      </c>
      <c r="P7">
        <v>5932</v>
      </c>
      <c r="Q7">
        <v>5840</v>
      </c>
      <c r="R7">
        <v>5674</v>
      </c>
      <c r="S7">
        <v>5514</v>
      </c>
      <c r="T7">
        <v>5479</v>
      </c>
      <c r="U7">
        <v>5470</v>
      </c>
      <c r="V7">
        <v>5555</v>
      </c>
      <c r="W7">
        <v>5461</v>
      </c>
      <c r="X7">
        <v>5479</v>
      </c>
      <c r="Y7">
        <v>5598</v>
      </c>
      <c r="Z7">
        <v>5946</v>
      </c>
      <c r="AA7">
        <v>6019</v>
      </c>
      <c r="AB7">
        <v>6114</v>
      </c>
      <c r="AC7">
        <v>6115</v>
      </c>
      <c r="AD7">
        <v>6147</v>
      </c>
      <c r="AE7">
        <v>6114</v>
      </c>
      <c r="AF7">
        <v>6079</v>
      </c>
      <c r="AG7">
        <v>6047</v>
      </c>
      <c r="AH7">
        <v>6021</v>
      </c>
      <c r="AI7">
        <v>6000</v>
      </c>
      <c r="AJ7">
        <v>6142</v>
      </c>
      <c r="AK7">
        <v>6134</v>
      </c>
      <c r="AL7">
        <v>6127</v>
      </c>
      <c r="AM7">
        <v>6121</v>
      </c>
      <c r="AN7">
        <v>6116</v>
      </c>
      <c r="AO7">
        <v>6113</v>
      </c>
      <c r="AP7">
        <v>6111</v>
      </c>
      <c r="AQ7">
        <v>6110</v>
      </c>
      <c r="AR7">
        <v>6111</v>
      </c>
      <c r="AS7">
        <v>6113</v>
      </c>
      <c r="AT7">
        <v>12408</v>
      </c>
      <c r="AU7">
        <v>12764</v>
      </c>
      <c r="AV7">
        <v>12500</v>
      </c>
      <c r="AW7">
        <v>11896</v>
      </c>
    </row>
    <row r="8" spans="2:51" x14ac:dyDescent="0.2">
      <c r="B8" t="s">
        <v>348</v>
      </c>
      <c r="C8" t="s">
        <v>213</v>
      </c>
      <c r="D8">
        <v>0</v>
      </c>
      <c r="E8">
        <v>0</v>
      </c>
      <c r="F8">
        <v>0</v>
      </c>
      <c r="G8">
        <v>26.15</v>
      </c>
      <c r="H8">
        <v>376.78</v>
      </c>
      <c r="I8">
        <v>430.48</v>
      </c>
      <c r="J8">
        <v>469.32</v>
      </c>
      <c r="K8">
        <v>499.96</v>
      </c>
      <c r="L8">
        <v>523.16</v>
      </c>
      <c r="M8">
        <v>542.76</v>
      </c>
      <c r="N8">
        <v>559.74</v>
      </c>
      <c r="O8">
        <v>574.88</v>
      </c>
      <c r="P8">
        <v>591.85</v>
      </c>
      <c r="Q8">
        <v>610.57000000000005</v>
      </c>
      <c r="R8">
        <v>610.42999999999995</v>
      </c>
      <c r="S8">
        <v>606.79999999999995</v>
      </c>
      <c r="T8">
        <v>626.14</v>
      </c>
      <c r="U8">
        <v>649.72</v>
      </c>
      <c r="V8">
        <v>657.72</v>
      </c>
      <c r="W8">
        <v>665.03</v>
      </c>
      <c r="X8">
        <v>692.58</v>
      </c>
      <c r="Y8">
        <v>767.36</v>
      </c>
      <c r="Z8">
        <v>998.84</v>
      </c>
      <c r="AA8">
        <v>1044.46</v>
      </c>
      <c r="AB8">
        <v>1094.3699999999999</v>
      </c>
      <c r="AC8">
        <v>1141.47</v>
      </c>
      <c r="AD8">
        <v>1190.54</v>
      </c>
      <c r="AE8">
        <v>1234.79</v>
      </c>
      <c r="AF8">
        <v>1280.3</v>
      </c>
      <c r="AG8">
        <v>1327.73</v>
      </c>
      <c r="AH8">
        <v>1377.43</v>
      </c>
      <c r="AI8">
        <v>1429.95</v>
      </c>
      <c r="AJ8">
        <v>1500.94</v>
      </c>
      <c r="AK8">
        <v>1561.86</v>
      </c>
      <c r="AL8">
        <v>1625.46</v>
      </c>
      <c r="AM8">
        <v>1692.03</v>
      </c>
      <c r="AN8">
        <v>1762.5</v>
      </c>
      <c r="AO8">
        <v>1836.97</v>
      </c>
      <c r="AP8">
        <v>1915.64</v>
      </c>
      <c r="AQ8">
        <v>1998.86</v>
      </c>
      <c r="AR8">
        <v>2086.87</v>
      </c>
      <c r="AS8">
        <v>2180.0700000000002</v>
      </c>
      <c r="AT8">
        <v>9428.42</v>
      </c>
      <c r="AU8">
        <v>9673.34</v>
      </c>
      <c r="AV8">
        <v>9811.7099999999991</v>
      </c>
      <c r="AW8">
        <v>9868.5</v>
      </c>
    </row>
    <row r="9" spans="2:51" x14ac:dyDescent="0.2">
      <c r="B9" t="s">
        <v>349</v>
      </c>
      <c r="C9" t="s">
        <v>213</v>
      </c>
      <c r="D9">
        <v>0</v>
      </c>
      <c r="E9">
        <v>0</v>
      </c>
      <c r="F9">
        <v>0</v>
      </c>
      <c r="G9">
        <v>72.02</v>
      </c>
      <c r="H9">
        <v>453.84</v>
      </c>
      <c r="I9">
        <v>491.04</v>
      </c>
      <c r="J9">
        <v>516.86</v>
      </c>
      <c r="K9">
        <v>537.61</v>
      </c>
      <c r="L9">
        <v>553.09</v>
      </c>
      <c r="M9">
        <v>566.82000000000005</v>
      </c>
      <c r="N9">
        <v>578.83000000000004</v>
      </c>
      <c r="O9">
        <v>589.54999999999995</v>
      </c>
      <c r="P9">
        <v>602.46</v>
      </c>
      <c r="Q9">
        <v>617.17999999999995</v>
      </c>
      <c r="R9">
        <v>627.67999999999995</v>
      </c>
      <c r="S9">
        <v>638.34</v>
      </c>
      <c r="T9">
        <v>656.72</v>
      </c>
      <c r="U9">
        <v>678.7</v>
      </c>
      <c r="V9">
        <v>706.02</v>
      </c>
      <c r="W9">
        <v>746.96</v>
      </c>
      <c r="X9">
        <v>774.11</v>
      </c>
      <c r="Y9">
        <v>843.7</v>
      </c>
      <c r="Z9">
        <v>1070.6199999999999</v>
      </c>
      <c r="AA9">
        <v>1114.1400000000001</v>
      </c>
      <c r="AB9">
        <v>1161.46</v>
      </c>
      <c r="AC9">
        <v>1203.5899999999999</v>
      </c>
      <c r="AD9">
        <v>1249.57</v>
      </c>
      <c r="AE9">
        <v>1290.55</v>
      </c>
      <c r="AF9">
        <v>1332.56</v>
      </c>
      <c r="AG9">
        <v>1376.17</v>
      </c>
      <c r="AH9">
        <v>1421.73</v>
      </c>
      <c r="AI9">
        <v>1469.46</v>
      </c>
      <c r="AJ9">
        <v>1532.6</v>
      </c>
      <c r="AK9">
        <v>1585.2</v>
      </c>
      <c r="AL9">
        <v>1639.5</v>
      </c>
      <c r="AM9">
        <v>1695.75</v>
      </c>
      <c r="AN9">
        <v>1754.21</v>
      </c>
      <c r="AO9">
        <v>1815.01</v>
      </c>
      <c r="AP9">
        <v>1878.3</v>
      </c>
      <c r="AQ9">
        <v>1944.25</v>
      </c>
      <c r="AR9">
        <v>2012.99</v>
      </c>
      <c r="AS9">
        <v>2084.54</v>
      </c>
      <c r="AT9">
        <v>10410.77</v>
      </c>
      <c r="AU9">
        <v>10590.84</v>
      </c>
      <c r="AV9">
        <v>10668.55</v>
      </c>
      <c r="AW9">
        <v>10676.89</v>
      </c>
    </row>
    <row r="10" spans="2:51" x14ac:dyDescent="0.2">
      <c r="B10" t="s">
        <v>350</v>
      </c>
      <c r="C10" t="s">
        <v>352</v>
      </c>
      <c r="D10">
        <v>0</v>
      </c>
      <c r="E10">
        <v>0</v>
      </c>
      <c r="F10">
        <v>0</v>
      </c>
      <c r="G10">
        <v>21.45</v>
      </c>
      <c r="H10">
        <v>280.93</v>
      </c>
      <c r="I10">
        <v>303.02</v>
      </c>
      <c r="J10">
        <v>318.18</v>
      </c>
      <c r="K10">
        <v>327.22000000000003</v>
      </c>
      <c r="L10">
        <v>333.79</v>
      </c>
      <c r="M10">
        <v>339.51</v>
      </c>
      <c r="N10">
        <v>342.86</v>
      </c>
      <c r="O10">
        <v>346.17</v>
      </c>
      <c r="P10">
        <v>349.74</v>
      </c>
      <c r="Q10">
        <v>354.76</v>
      </c>
      <c r="R10">
        <v>349.37</v>
      </c>
      <c r="S10">
        <v>342.06</v>
      </c>
      <c r="T10">
        <v>346.87</v>
      </c>
      <c r="U10">
        <v>353.12</v>
      </c>
      <c r="V10">
        <v>400.05</v>
      </c>
      <c r="W10">
        <v>398.2</v>
      </c>
      <c r="X10">
        <v>404.82</v>
      </c>
      <c r="Y10">
        <v>432.12</v>
      </c>
      <c r="Z10">
        <v>554.04</v>
      </c>
      <c r="AA10">
        <v>561.97</v>
      </c>
      <c r="AB10">
        <v>591.46</v>
      </c>
      <c r="AC10">
        <v>598.72</v>
      </c>
      <c r="AD10">
        <v>622.21</v>
      </c>
      <c r="AE10">
        <v>627.27</v>
      </c>
      <c r="AF10">
        <v>632.28</v>
      </c>
      <c r="AG10">
        <v>637.57000000000005</v>
      </c>
      <c r="AH10">
        <v>643.12</v>
      </c>
      <c r="AI10">
        <v>648.99</v>
      </c>
      <c r="AJ10">
        <v>661.07</v>
      </c>
      <c r="AK10">
        <v>668.74</v>
      </c>
      <c r="AL10">
        <v>676.7</v>
      </c>
      <c r="AM10">
        <v>685</v>
      </c>
      <c r="AN10">
        <v>693.8</v>
      </c>
      <c r="AO10">
        <v>703.07</v>
      </c>
      <c r="AP10">
        <v>712.82</v>
      </c>
      <c r="AQ10">
        <v>723.11</v>
      </c>
      <c r="AR10">
        <v>733.98</v>
      </c>
      <c r="AS10">
        <v>745.26</v>
      </c>
      <c r="AT10">
        <v>2678.83</v>
      </c>
      <c r="AU10">
        <v>2648.11</v>
      </c>
      <c r="AV10">
        <v>2611.62</v>
      </c>
      <c r="AW10">
        <v>2557.46</v>
      </c>
    </row>
    <row r="11" spans="2:51" x14ac:dyDescent="0.2">
      <c r="B11" t="s">
        <v>367</v>
      </c>
      <c r="C11" t="s">
        <v>352</v>
      </c>
      <c r="D11">
        <v>0</v>
      </c>
      <c r="E11">
        <v>0</v>
      </c>
      <c r="F11">
        <v>0</v>
      </c>
      <c r="G11" s="66">
        <f>G10*G29*0.0622</f>
        <v>0.47275920168067209</v>
      </c>
      <c r="H11" s="66">
        <f t="shared" ref="H11:AW11" si="0">H10*H29*0.0622</f>
        <v>7.17788</v>
      </c>
      <c r="I11" s="66">
        <f t="shared" si="0"/>
        <v>7.7307262452805272</v>
      </c>
      <c r="J11" s="66">
        <f t="shared" si="0"/>
        <v>8.1100031127313859</v>
      </c>
      <c r="K11" s="66">
        <f t="shared" si="0"/>
        <v>8.3422640000000001</v>
      </c>
      <c r="L11" s="66">
        <f t="shared" si="0"/>
        <v>8.5141910762777879</v>
      </c>
      <c r="M11" s="66">
        <f t="shared" si="0"/>
        <v>8.6657040000000016</v>
      </c>
      <c r="N11" s="66">
        <f t="shared" si="0"/>
        <v>8.7608699999999988</v>
      </c>
      <c r="O11" s="66">
        <f t="shared" si="0"/>
        <v>8.853548</v>
      </c>
      <c r="P11" s="66">
        <f t="shared" si="0"/>
        <v>8.953068</v>
      </c>
      <c r="Q11" s="66">
        <f t="shared" si="0"/>
        <v>9.085810111458775</v>
      </c>
      <c r="R11" s="66">
        <f t="shared" si="0"/>
        <v>8.9627634592707075</v>
      </c>
      <c r="S11" s="66">
        <f t="shared" si="0"/>
        <v>8.7901040000000012</v>
      </c>
      <c r="T11" s="66">
        <f t="shared" si="0"/>
        <v>8.9191151313498231</v>
      </c>
      <c r="U11" s="66">
        <f t="shared" si="0"/>
        <v>9.0849320000000002</v>
      </c>
      <c r="V11" s="66">
        <f t="shared" si="0"/>
        <v>10.278915059241113</v>
      </c>
      <c r="W11" s="66">
        <f t="shared" si="0"/>
        <v>10.249058615303481</v>
      </c>
      <c r="X11" s="66">
        <f t="shared" si="0"/>
        <v>10.434307751784788</v>
      </c>
      <c r="Y11" s="66">
        <f t="shared" si="0"/>
        <v>11.152823904473191</v>
      </c>
      <c r="Z11" s="66">
        <f t="shared" si="0"/>
        <v>14.306622000000001</v>
      </c>
      <c r="AA11" s="66">
        <f t="shared" si="0"/>
        <v>14.554282026370576</v>
      </c>
      <c r="AB11" s="66">
        <f t="shared" si="0"/>
        <v>15.358424000000001</v>
      </c>
      <c r="AC11" s="66">
        <f t="shared" si="0"/>
        <v>15.597894</v>
      </c>
      <c r="AD11" s="66">
        <f t="shared" si="0"/>
        <v>16.261829355962714</v>
      </c>
      <c r="AE11" s="66">
        <f t="shared" si="0"/>
        <v>16.452881706542531</v>
      </c>
      <c r="AF11" s="66">
        <f t="shared" si="0"/>
        <v>16.644719999999996</v>
      </c>
      <c r="AG11" s="66">
        <f t="shared" si="0"/>
        <v>16.848736000000002</v>
      </c>
      <c r="AH11" s="66">
        <f t="shared" si="0"/>
        <v>17.062082</v>
      </c>
      <c r="AI11" s="66">
        <f t="shared" si="0"/>
        <v>17.286890366051342</v>
      </c>
      <c r="AJ11" s="66">
        <f t="shared" si="0"/>
        <v>17.676618000000001</v>
      </c>
      <c r="AK11" s="66">
        <f t="shared" si="0"/>
        <v>17.953054460903502</v>
      </c>
      <c r="AL11" s="66">
        <f t="shared" si="0"/>
        <v>18.237662000000004</v>
      </c>
      <c r="AM11" s="66">
        <f t="shared" si="0"/>
        <v>18.533112000000003</v>
      </c>
      <c r="AN11" s="66">
        <f t="shared" si="0"/>
        <v>18.84376160221392</v>
      </c>
      <c r="AO11" s="66">
        <f t="shared" si="0"/>
        <v>19.169145350827787</v>
      </c>
      <c r="AP11" s="66">
        <f t="shared" si="0"/>
        <v>19.507711339057241</v>
      </c>
      <c r="AQ11" s="66">
        <f t="shared" si="0"/>
        <v>19.863569999999996</v>
      </c>
      <c r="AR11" s="66">
        <f t="shared" si="0"/>
        <v>20.238014</v>
      </c>
      <c r="AS11" s="66">
        <f t="shared" si="0"/>
        <v>20.627109222644144</v>
      </c>
      <c r="AT11" s="66">
        <f t="shared" si="0"/>
        <v>75.181139999999999</v>
      </c>
      <c r="AU11" s="66">
        <f t="shared" si="0"/>
        <v>74.660185937630729</v>
      </c>
      <c r="AV11" s="66">
        <f t="shared" si="0"/>
        <v>73.921534097166486</v>
      </c>
      <c r="AW11" s="66">
        <f t="shared" si="0"/>
        <v>72.678834000000009</v>
      </c>
    </row>
    <row r="12" spans="2:51" x14ac:dyDescent="0.2"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</row>
    <row r="14" spans="2:51" x14ac:dyDescent="0.2">
      <c r="B14" t="s">
        <v>368</v>
      </c>
    </row>
    <row r="15" spans="2:51" x14ac:dyDescent="0.2">
      <c r="B15" t="s">
        <v>344</v>
      </c>
      <c r="C15" t="s">
        <v>0</v>
      </c>
      <c r="D15">
        <v>2015</v>
      </c>
      <c r="E15">
        <v>2016</v>
      </c>
      <c r="F15">
        <v>2017</v>
      </c>
      <c r="G15">
        <v>2018</v>
      </c>
      <c r="H15">
        <v>2019</v>
      </c>
      <c r="I15">
        <v>2020</v>
      </c>
      <c r="J15">
        <v>2021</v>
      </c>
      <c r="K15">
        <v>2022</v>
      </c>
      <c r="L15">
        <v>2023</v>
      </c>
      <c r="M15">
        <v>2024</v>
      </c>
      <c r="N15">
        <v>2025</v>
      </c>
      <c r="O15">
        <v>2026</v>
      </c>
      <c r="P15">
        <v>2027</v>
      </c>
      <c r="Q15">
        <v>2028</v>
      </c>
      <c r="R15">
        <v>2029</v>
      </c>
      <c r="S15">
        <v>2030</v>
      </c>
      <c r="T15">
        <v>2031</v>
      </c>
      <c r="U15">
        <v>2032</v>
      </c>
      <c r="V15">
        <v>2033</v>
      </c>
      <c r="W15">
        <v>2034</v>
      </c>
      <c r="X15">
        <v>2035</v>
      </c>
      <c r="Y15">
        <v>2036</v>
      </c>
      <c r="Z15">
        <v>2037</v>
      </c>
      <c r="AA15">
        <v>2038</v>
      </c>
      <c r="AB15">
        <v>2039</v>
      </c>
      <c r="AC15">
        <v>2040</v>
      </c>
      <c r="AD15">
        <v>2041</v>
      </c>
      <c r="AE15">
        <v>2042</v>
      </c>
      <c r="AF15">
        <v>2043</v>
      </c>
      <c r="AG15">
        <v>2044</v>
      </c>
      <c r="AH15">
        <v>2045</v>
      </c>
      <c r="AI15">
        <v>2046</v>
      </c>
      <c r="AJ15">
        <v>2047</v>
      </c>
      <c r="AK15">
        <v>2048</v>
      </c>
      <c r="AL15">
        <v>2049</v>
      </c>
      <c r="AM15">
        <v>2050</v>
      </c>
      <c r="AN15">
        <v>2051</v>
      </c>
      <c r="AO15">
        <v>2052</v>
      </c>
      <c r="AP15">
        <v>2053</v>
      </c>
      <c r="AQ15">
        <v>2054</v>
      </c>
      <c r="AR15">
        <v>2055</v>
      </c>
      <c r="AS15">
        <v>2056</v>
      </c>
      <c r="AT15">
        <v>2057</v>
      </c>
      <c r="AU15">
        <v>2058</v>
      </c>
      <c r="AV15">
        <v>2059</v>
      </c>
      <c r="AW15">
        <v>2060</v>
      </c>
    </row>
    <row r="16" spans="2:51" x14ac:dyDescent="0.2">
      <c r="B16" t="s">
        <v>353</v>
      </c>
      <c r="C16" t="s">
        <v>352</v>
      </c>
      <c r="D16">
        <v>0</v>
      </c>
      <c r="E16">
        <v>0</v>
      </c>
      <c r="F16">
        <v>0</v>
      </c>
      <c r="G16">
        <v>0.99</v>
      </c>
      <c r="H16">
        <v>15.11</v>
      </c>
      <c r="I16">
        <v>16.09</v>
      </c>
      <c r="J16">
        <v>16.600000000000001</v>
      </c>
      <c r="K16">
        <v>16.75</v>
      </c>
      <c r="L16">
        <v>16.760000000000002</v>
      </c>
      <c r="M16">
        <v>16.73</v>
      </c>
      <c r="N16">
        <v>16.579999999999998</v>
      </c>
      <c r="O16">
        <v>16.43</v>
      </c>
      <c r="P16">
        <v>16.3</v>
      </c>
      <c r="Q16">
        <v>16.25</v>
      </c>
      <c r="R16">
        <v>15.64</v>
      </c>
      <c r="S16">
        <v>14.96</v>
      </c>
      <c r="T16">
        <v>14.92</v>
      </c>
      <c r="U16">
        <v>14.96</v>
      </c>
      <c r="V16">
        <v>16.37</v>
      </c>
      <c r="W16">
        <v>16.03</v>
      </c>
      <c r="X16">
        <v>16.079999999999998</v>
      </c>
      <c r="Y16">
        <v>17.16</v>
      </c>
      <c r="Z16">
        <v>22.52</v>
      </c>
      <c r="AA16">
        <v>22.59</v>
      </c>
      <c r="AB16">
        <v>23.41</v>
      </c>
      <c r="AC16">
        <v>23.43</v>
      </c>
      <c r="AD16">
        <v>23.99</v>
      </c>
      <c r="AE16">
        <v>23.9</v>
      </c>
      <c r="AF16">
        <v>23.8</v>
      </c>
      <c r="AG16">
        <v>23.71</v>
      </c>
      <c r="AH16">
        <v>23.63</v>
      </c>
      <c r="AI16">
        <v>23.55</v>
      </c>
      <c r="AJ16">
        <v>23.71</v>
      </c>
      <c r="AK16">
        <v>23.67</v>
      </c>
      <c r="AL16">
        <v>23.63</v>
      </c>
      <c r="AM16">
        <v>23.58</v>
      </c>
      <c r="AN16">
        <v>23.54</v>
      </c>
      <c r="AO16">
        <v>23.51</v>
      </c>
      <c r="AP16">
        <v>23.47</v>
      </c>
      <c r="AQ16">
        <v>23.45</v>
      </c>
      <c r="AR16">
        <v>23.44</v>
      </c>
      <c r="AS16">
        <v>23.44</v>
      </c>
      <c r="AT16">
        <v>94.23</v>
      </c>
      <c r="AU16">
        <v>91.81</v>
      </c>
      <c r="AV16">
        <v>89</v>
      </c>
      <c r="AW16">
        <v>85.63</v>
      </c>
    </row>
    <row r="17" spans="2:49" x14ac:dyDescent="0.2">
      <c r="B17" t="s">
        <v>354</v>
      </c>
      <c r="C17" t="s">
        <v>352</v>
      </c>
      <c r="D17">
        <v>0</v>
      </c>
      <c r="E17">
        <v>0</v>
      </c>
      <c r="F17">
        <v>0</v>
      </c>
      <c r="G17">
        <v>0.68</v>
      </c>
      <c r="H17">
        <v>14.07</v>
      </c>
      <c r="I17">
        <v>15.13</v>
      </c>
      <c r="J17">
        <v>15.89</v>
      </c>
      <c r="K17">
        <v>16.38</v>
      </c>
      <c r="L17">
        <v>16.739999999999998</v>
      </c>
      <c r="M17">
        <v>17.04</v>
      </c>
      <c r="N17">
        <v>17.27</v>
      </c>
      <c r="O17">
        <v>17.5</v>
      </c>
      <c r="P17">
        <v>17.77</v>
      </c>
      <c r="Q17">
        <v>18.12</v>
      </c>
      <c r="R17">
        <v>17.97</v>
      </c>
      <c r="S17">
        <v>17.739999999999998</v>
      </c>
      <c r="T17">
        <v>18.13</v>
      </c>
      <c r="U17">
        <v>18.600000000000001</v>
      </c>
      <c r="V17">
        <v>20.98</v>
      </c>
      <c r="W17">
        <v>21.22</v>
      </c>
      <c r="X17">
        <v>21.75</v>
      </c>
      <c r="Y17">
        <v>23.43</v>
      </c>
      <c r="Z17">
        <v>30.35</v>
      </c>
      <c r="AA17">
        <v>31.02</v>
      </c>
      <c r="AB17">
        <v>32.799999999999997</v>
      </c>
      <c r="AC17">
        <v>33.450000000000003</v>
      </c>
      <c r="AD17">
        <v>34.93</v>
      </c>
      <c r="AE17">
        <v>35.47</v>
      </c>
      <c r="AF17">
        <v>36</v>
      </c>
      <c r="AG17">
        <v>36.549999999999997</v>
      </c>
      <c r="AH17">
        <v>37.11</v>
      </c>
      <c r="AI17">
        <v>37.69</v>
      </c>
      <c r="AJ17">
        <v>38.630000000000003</v>
      </c>
      <c r="AK17">
        <v>39.31</v>
      </c>
      <c r="AL17">
        <v>40.01</v>
      </c>
      <c r="AM17">
        <v>40.72</v>
      </c>
      <c r="AN17">
        <v>41.46</v>
      </c>
      <c r="AO17">
        <v>42.23</v>
      </c>
      <c r="AP17">
        <v>43.03</v>
      </c>
      <c r="AQ17">
        <v>43.86</v>
      </c>
      <c r="AR17">
        <v>44.72</v>
      </c>
      <c r="AS17">
        <v>45.61</v>
      </c>
      <c r="AT17">
        <v>174.05</v>
      </c>
      <c r="AU17">
        <v>172.46</v>
      </c>
      <c r="AV17">
        <v>170.66</v>
      </c>
      <c r="AW17">
        <v>167.67</v>
      </c>
    </row>
    <row r="18" spans="2:49" x14ac:dyDescent="0.2">
      <c r="B18" t="s">
        <v>355</v>
      </c>
      <c r="C18" t="s">
        <v>352</v>
      </c>
      <c r="D18">
        <v>0</v>
      </c>
      <c r="E18">
        <v>0</v>
      </c>
      <c r="F18">
        <v>0</v>
      </c>
      <c r="G18">
        <v>2.44</v>
      </c>
      <c r="H18">
        <v>31.36</v>
      </c>
      <c r="I18">
        <v>33.700000000000003</v>
      </c>
      <c r="J18">
        <v>35.39</v>
      </c>
      <c r="K18">
        <v>36.53</v>
      </c>
      <c r="L18">
        <v>37.42</v>
      </c>
      <c r="M18">
        <v>38.229999999999997</v>
      </c>
      <c r="N18">
        <v>38.869999999999997</v>
      </c>
      <c r="O18">
        <v>39.54</v>
      </c>
      <c r="P18">
        <v>40.270000000000003</v>
      </c>
      <c r="Q18">
        <v>41.18</v>
      </c>
      <c r="R18">
        <v>41</v>
      </c>
      <c r="S18">
        <v>40.64</v>
      </c>
      <c r="T18">
        <v>41.66</v>
      </c>
      <c r="U18">
        <v>42.89</v>
      </c>
      <c r="V18">
        <v>49.11</v>
      </c>
      <c r="W18">
        <v>50.13</v>
      </c>
      <c r="X18">
        <v>51.66</v>
      </c>
      <c r="Y18">
        <v>55.88</v>
      </c>
      <c r="Z18">
        <v>72.540000000000006</v>
      </c>
      <c r="AA18">
        <v>74.760000000000005</v>
      </c>
      <c r="AB18">
        <v>79.94</v>
      </c>
      <c r="AC18">
        <v>82.24</v>
      </c>
      <c r="AD18">
        <v>86.91</v>
      </c>
      <c r="AE18">
        <v>89.09</v>
      </c>
      <c r="AF18">
        <v>91.33</v>
      </c>
      <c r="AG18">
        <v>93.68</v>
      </c>
      <c r="AH18">
        <v>96.14</v>
      </c>
      <c r="AI18">
        <v>98.71</v>
      </c>
      <c r="AJ18">
        <v>102.24</v>
      </c>
      <c r="AK18">
        <v>105.17</v>
      </c>
      <c r="AL18">
        <v>108.19</v>
      </c>
      <c r="AM18">
        <v>111.33</v>
      </c>
      <c r="AN18">
        <v>114.59</v>
      </c>
      <c r="AO18">
        <v>117.99</v>
      </c>
      <c r="AP18">
        <v>121.51</v>
      </c>
      <c r="AQ18">
        <v>125.17</v>
      </c>
      <c r="AR18">
        <v>128.99</v>
      </c>
      <c r="AS18">
        <v>132.94</v>
      </c>
      <c r="AT18">
        <v>489.31</v>
      </c>
      <c r="AU18">
        <v>491.59</v>
      </c>
      <c r="AV18">
        <v>492.03</v>
      </c>
      <c r="AW18">
        <v>489.05</v>
      </c>
    </row>
    <row r="19" spans="2:49" x14ac:dyDescent="0.2">
      <c r="B19" t="s">
        <v>356</v>
      </c>
      <c r="C19" t="s">
        <v>352</v>
      </c>
      <c r="D19">
        <v>0</v>
      </c>
      <c r="E19">
        <v>0</v>
      </c>
      <c r="F19">
        <v>0</v>
      </c>
      <c r="G19">
        <v>0.9</v>
      </c>
      <c r="H19">
        <v>11.32</v>
      </c>
      <c r="I19">
        <v>12.76</v>
      </c>
      <c r="J19">
        <v>13.85</v>
      </c>
      <c r="K19">
        <v>14.63</v>
      </c>
      <c r="L19">
        <v>15.27</v>
      </c>
      <c r="M19">
        <v>15.84</v>
      </c>
      <c r="N19">
        <v>16.239999999999998</v>
      </c>
      <c r="O19">
        <v>16.579999999999998</v>
      </c>
      <c r="P19">
        <v>16.87</v>
      </c>
      <c r="Q19">
        <v>17.18</v>
      </c>
      <c r="R19">
        <v>17.010000000000002</v>
      </c>
      <c r="S19">
        <v>16.690000000000001</v>
      </c>
      <c r="T19">
        <v>16.8</v>
      </c>
      <c r="U19">
        <v>16.95</v>
      </c>
      <c r="V19">
        <v>19.510000000000002</v>
      </c>
      <c r="W19">
        <v>18.5</v>
      </c>
      <c r="X19">
        <v>18.54</v>
      </c>
      <c r="Y19">
        <v>19.309999999999999</v>
      </c>
      <c r="Z19">
        <v>23.67</v>
      </c>
      <c r="AA19">
        <v>23.72</v>
      </c>
      <c r="AB19">
        <v>24.86</v>
      </c>
      <c r="AC19">
        <v>24.87</v>
      </c>
      <c r="AD19">
        <v>25.7</v>
      </c>
      <c r="AE19">
        <v>25.61</v>
      </c>
      <c r="AF19">
        <v>25.51</v>
      </c>
      <c r="AG19">
        <v>25.41</v>
      </c>
      <c r="AH19">
        <v>25.3</v>
      </c>
      <c r="AI19">
        <v>25.2</v>
      </c>
      <c r="AJ19">
        <v>25.31</v>
      </c>
      <c r="AK19">
        <v>25.28</v>
      </c>
      <c r="AL19">
        <v>25.25</v>
      </c>
      <c r="AM19">
        <v>25.22</v>
      </c>
      <c r="AN19">
        <v>25.19</v>
      </c>
      <c r="AO19">
        <v>25.17</v>
      </c>
      <c r="AP19">
        <v>25.16</v>
      </c>
      <c r="AQ19">
        <v>25.16</v>
      </c>
      <c r="AR19">
        <v>25.17</v>
      </c>
      <c r="AS19">
        <v>25.2</v>
      </c>
      <c r="AT19">
        <v>75.11</v>
      </c>
      <c r="AU19">
        <v>73.8</v>
      </c>
      <c r="AV19">
        <v>72.260000000000005</v>
      </c>
      <c r="AW19">
        <v>70.2</v>
      </c>
    </row>
    <row r="20" spans="2:49" x14ac:dyDescent="0.2">
      <c r="B20" t="s">
        <v>357</v>
      </c>
      <c r="C20" t="s">
        <v>352</v>
      </c>
      <c r="D20">
        <v>0</v>
      </c>
      <c r="E20">
        <v>0</v>
      </c>
      <c r="F20">
        <v>0</v>
      </c>
      <c r="G20">
        <v>0.59</v>
      </c>
      <c r="H20">
        <v>8.99</v>
      </c>
      <c r="I20">
        <v>9.7799999999999994</v>
      </c>
      <c r="J20">
        <v>10.35</v>
      </c>
      <c r="K20">
        <v>10.72</v>
      </c>
      <c r="L20">
        <v>11.01</v>
      </c>
      <c r="M20">
        <v>11.28</v>
      </c>
      <c r="N20">
        <v>11.46</v>
      </c>
      <c r="O20">
        <v>11.63</v>
      </c>
      <c r="P20">
        <v>11.81</v>
      </c>
      <c r="Q20">
        <v>12.02</v>
      </c>
      <c r="R20">
        <v>11.86</v>
      </c>
      <c r="S20">
        <v>11.61</v>
      </c>
      <c r="T20">
        <v>11.79</v>
      </c>
      <c r="U20">
        <v>12.02</v>
      </c>
      <c r="V20">
        <v>13.59</v>
      </c>
      <c r="W20">
        <v>13.29</v>
      </c>
      <c r="X20">
        <v>13.51</v>
      </c>
      <c r="Y20">
        <v>14.47</v>
      </c>
      <c r="Z20">
        <v>18.88</v>
      </c>
      <c r="AA20">
        <v>19.12</v>
      </c>
      <c r="AB20">
        <v>20.100000000000001</v>
      </c>
      <c r="AC20">
        <v>20.32</v>
      </c>
      <c r="AD20">
        <v>21.09</v>
      </c>
      <c r="AE20">
        <v>21.23</v>
      </c>
      <c r="AF20">
        <v>21.36</v>
      </c>
      <c r="AG20">
        <v>21.49</v>
      </c>
      <c r="AH20">
        <v>21.63</v>
      </c>
      <c r="AI20">
        <v>21.78</v>
      </c>
      <c r="AJ20">
        <v>22.15</v>
      </c>
      <c r="AK20">
        <v>22.36</v>
      </c>
      <c r="AL20">
        <v>22.57</v>
      </c>
      <c r="AM20">
        <v>22.78</v>
      </c>
      <c r="AN20">
        <v>23.01</v>
      </c>
      <c r="AO20">
        <v>23.25</v>
      </c>
      <c r="AP20">
        <v>23.49</v>
      </c>
      <c r="AQ20">
        <v>23.75</v>
      </c>
      <c r="AR20">
        <v>24.03</v>
      </c>
      <c r="AS20">
        <v>24.32</v>
      </c>
      <c r="AT20">
        <v>92.4</v>
      </c>
      <c r="AU20">
        <v>90.82</v>
      </c>
      <c r="AV20">
        <v>89.21</v>
      </c>
      <c r="AW20">
        <v>86.99</v>
      </c>
    </row>
    <row r="21" spans="2:49" x14ac:dyDescent="0.2">
      <c r="B21" t="s">
        <v>358</v>
      </c>
      <c r="C21" t="s">
        <v>352</v>
      </c>
      <c r="D21">
        <v>0</v>
      </c>
      <c r="E21">
        <v>0</v>
      </c>
      <c r="F21">
        <v>0</v>
      </c>
      <c r="G21">
        <v>0.47</v>
      </c>
      <c r="H21">
        <v>9.1999999999999993</v>
      </c>
      <c r="I21">
        <v>9.91</v>
      </c>
      <c r="J21">
        <v>10.45</v>
      </c>
      <c r="K21">
        <v>10.81</v>
      </c>
      <c r="L21">
        <v>11.07</v>
      </c>
      <c r="M21">
        <v>11.28</v>
      </c>
      <c r="N21">
        <v>11.39</v>
      </c>
      <c r="O21">
        <v>11.47</v>
      </c>
      <c r="P21">
        <v>11.52</v>
      </c>
      <c r="Q21">
        <v>11.57</v>
      </c>
      <c r="R21">
        <v>11.39</v>
      </c>
      <c r="S21">
        <v>11.12</v>
      </c>
      <c r="T21">
        <v>11.07</v>
      </c>
      <c r="U21">
        <v>11.03</v>
      </c>
      <c r="V21">
        <v>11.84</v>
      </c>
      <c r="W21">
        <v>11.18</v>
      </c>
      <c r="X21">
        <v>11.1</v>
      </c>
      <c r="Y21">
        <v>11.36</v>
      </c>
      <c r="Z21">
        <v>13.18</v>
      </c>
      <c r="AA21">
        <v>13.07</v>
      </c>
      <c r="AB21">
        <v>13.36</v>
      </c>
      <c r="AC21">
        <v>13.25</v>
      </c>
      <c r="AD21">
        <v>13.41</v>
      </c>
      <c r="AE21">
        <v>13.25</v>
      </c>
      <c r="AF21">
        <v>13.07</v>
      </c>
      <c r="AG21">
        <v>12.9</v>
      </c>
      <c r="AH21">
        <v>12.73</v>
      </c>
      <c r="AI21">
        <v>12.55</v>
      </c>
      <c r="AJ21">
        <v>12.48</v>
      </c>
      <c r="AK21">
        <v>12.34</v>
      </c>
      <c r="AL21">
        <v>12.2</v>
      </c>
      <c r="AM21">
        <v>12.06</v>
      </c>
      <c r="AN21">
        <v>11.93</v>
      </c>
      <c r="AO21">
        <v>11.8</v>
      </c>
      <c r="AP21">
        <v>11.67</v>
      </c>
      <c r="AQ21">
        <v>11.55</v>
      </c>
      <c r="AR21">
        <v>11.44</v>
      </c>
      <c r="AS21">
        <v>11.33</v>
      </c>
      <c r="AT21">
        <v>32.200000000000003</v>
      </c>
      <c r="AU21">
        <v>31.26</v>
      </c>
      <c r="AV21">
        <v>30.39</v>
      </c>
      <c r="AW21">
        <v>29.32</v>
      </c>
    </row>
    <row r="22" spans="2:49" x14ac:dyDescent="0.2">
      <c r="B22" t="s">
        <v>359</v>
      </c>
      <c r="C22" t="s">
        <v>352</v>
      </c>
      <c r="D22">
        <v>0</v>
      </c>
      <c r="E22">
        <v>0</v>
      </c>
      <c r="F22">
        <v>0</v>
      </c>
      <c r="G22">
        <v>0.01</v>
      </c>
      <c r="H22">
        <v>0.14000000000000001</v>
      </c>
      <c r="I22">
        <v>0.14000000000000001</v>
      </c>
      <c r="J22">
        <v>0.15</v>
      </c>
      <c r="K22">
        <v>0.15</v>
      </c>
      <c r="L22">
        <v>0.15</v>
      </c>
      <c r="M22">
        <v>0.15</v>
      </c>
      <c r="N22">
        <v>0.14000000000000001</v>
      </c>
      <c r="O22">
        <v>0.14000000000000001</v>
      </c>
      <c r="P22">
        <v>0.14000000000000001</v>
      </c>
      <c r="Q22">
        <v>0.13</v>
      </c>
      <c r="R22">
        <v>0.13</v>
      </c>
      <c r="S22">
        <v>0.12</v>
      </c>
      <c r="T22">
        <v>0.12</v>
      </c>
      <c r="U22">
        <v>0.12</v>
      </c>
      <c r="V22">
        <v>0.13</v>
      </c>
      <c r="W22">
        <v>0.13</v>
      </c>
      <c r="X22">
        <v>0.12</v>
      </c>
      <c r="Y22">
        <v>0.13</v>
      </c>
      <c r="Z22">
        <v>0.15</v>
      </c>
      <c r="AA22">
        <v>0.15</v>
      </c>
      <c r="AB22">
        <v>0.15</v>
      </c>
      <c r="AC22">
        <v>0.15</v>
      </c>
      <c r="AD22">
        <v>0.15</v>
      </c>
      <c r="AE22">
        <v>0.15</v>
      </c>
      <c r="AF22">
        <v>0.14000000000000001</v>
      </c>
      <c r="AG22">
        <v>0.14000000000000001</v>
      </c>
      <c r="AH22">
        <v>0.14000000000000001</v>
      </c>
      <c r="AI22">
        <v>0.13</v>
      </c>
      <c r="AJ22">
        <v>0.13</v>
      </c>
      <c r="AK22">
        <v>0.13</v>
      </c>
      <c r="AL22">
        <v>0.13</v>
      </c>
      <c r="AM22">
        <v>0.13</v>
      </c>
      <c r="AN22">
        <v>0.13</v>
      </c>
      <c r="AO22">
        <v>0.13</v>
      </c>
      <c r="AP22">
        <v>0.12</v>
      </c>
      <c r="AQ22">
        <v>0.12</v>
      </c>
      <c r="AR22">
        <v>0.12</v>
      </c>
      <c r="AS22">
        <v>0.12</v>
      </c>
      <c r="AT22">
        <v>0.37</v>
      </c>
      <c r="AU22">
        <v>0.36</v>
      </c>
      <c r="AV22">
        <v>0.35</v>
      </c>
      <c r="AW22">
        <v>0.34</v>
      </c>
    </row>
    <row r="23" spans="2:49" x14ac:dyDescent="0.2">
      <c r="B23" t="s">
        <v>360</v>
      </c>
      <c r="C23" t="s">
        <v>352</v>
      </c>
      <c r="D23">
        <v>0</v>
      </c>
      <c r="E23">
        <v>0</v>
      </c>
      <c r="F23">
        <v>0</v>
      </c>
      <c r="G23">
        <v>1.51</v>
      </c>
      <c r="H23">
        <v>25.21</v>
      </c>
      <c r="I23">
        <v>26.77</v>
      </c>
      <c r="J23">
        <v>27.71</v>
      </c>
      <c r="K23">
        <v>28.15</v>
      </c>
      <c r="L23">
        <v>28.46</v>
      </c>
      <c r="M23">
        <v>28.77</v>
      </c>
      <c r="N23">
        <v>28.9</v>
      </c>
      <c r="O23">
        <v>29.05</v>
      </c>
      <c r="P23">
        <v>29.26</v>
      </c>
      <c r="Q23">
        <v>29.62</v>
      </c>
      <c r="R23">
        <v>29.1</v>
      </c>
      <c r="S23">
        <v>28.44</v>
      </c>
      <c r="T23">
        <v>28.9</v>
      </c>
      <c r="U23">
        <v>29.49</v>
      </c>
      <c r="V23">
        <v>33.729999999999997</v>
      </c>
      <c r="W23">
        <v>34.299999999999997</v>
      </c>
      <c r="X23">
        <v>34.99</v>
      </c>
      <c r="Y23">
        <v>37.57</v>
      </c>
      <c r="Z23">
        <v>48.72</v>
      </c>
      <c r="AA23">
        <v>49.57</v>
      </c>
      <c r="AB23">
        <v>52.3</v>
      </c>
      <c r="AC23">
        <v>53.06</v>
      </c>
      <c r="AD23">
        <v>55.26</v>
      </c>
      <c r="AE23">
        <v>55.82</v>
      </c>
      <c r="AF23">
        <v>56.39</v>
      </c>
      <c r="AG23">
        <v>57</v>
      </c>
      <c r="AH23">
        <v>57.63</v>
      </c>
      <c r="AI23">
        <v>58.31</v>
      </c>
      <c r="AJ23">
        <v>59.54</v>
      </c>
      <c r="AK23">
        <v>60.37</v>
      </c>
      <c r="AL23">
        <v>61.23</v>
      </c>
      <c r="AM23">
        <v>62.14</v>
      </c>
      <c r="AN23">
        <v>63.1</v>
      </c>
      <c r="AO23">
        <v>64.11</v>
      </c>
      <c r="AP23">
        <v>65.17</v>
      </c>
      <c r="AQ23">
        <v>66.290000000000006</v>
      </c>
      <c r="AR23">
        <v>67.459999999999994</v>
      </c>
      <c r="AS23">
        <v>68.67</v>
      </c>
      <c r="AT23">
        <v>251.03</v>
      </c>
      <c r="AU23">
        <v>248.22</v>
      </c>
      <c r="AV23">
        <v>244.54</v>
      </c>
      <c r="AW23">
        <v>239.27</v>
      </c>
    </row>
    <row r="24" spans="2:49" x14ac:dyDescent="0.2">
      <c r="B24" t="s">
        <v>361</v>
      </c>
      <c r="C24" t="s">
        <v>352</v>
      </c>
      <c r="D24">
        <v>0</v>
      </c>
      <c r="E24">
        <v>0</v>
      </c>
      <c r="F24">
        <v>0</v>
      </c>
      <c r="G24">
        <v>1.75</v>
      </c>
      <c r="H24">
        <v>21.79</v>
      </c>
      <c r="I24">
        <v>24.32</v>
      </c>
      <c r="J24">
        <v>26.5</v>
      </c>
      <c r="K24">
        <v>28.11</v>
      </c>
      <c r="L24">
        <v>29.48</v>
      </c>
      <c r="M24">
        <v>30.75</v>
      </c>
      <c r="N24">
        <v>31.69</v>
      </c>
      <c r="O24">
        <v>32.54</v>
      </c>
      <c r="P24">
        <v>33.28</v>
      </c>
      <c r="Q24">
        <v>34.07</v>
      </c>
      <c r="R24">
        <v>33.909999999999997</v>
      </c>
      <c r="S24">
        <v>33.44</v>
      </c>
      <c r="T24">
        <v>33.85</v>
      </c>
      <c r="U24">
        <v>34.340000000000003</v>
      </c>
      <c r="V24">
        <v>39.79</v>
      </c>
      <c r="W24">
        <v>37.89</v>
      </c>
      <c r="X24">
        <v>38.25</v>
      </c>
      <c r="Y24">
        <v>40.03</v>
      </c>
      <c r="Z24">
        <v>49.11</v>
      </c>
      <c r="AA24">
        <v>49.32</v>
      </c>
      <c r="AB24">
        <v>51.93</v>
      </c>
      <c r="AC24">
        <v>52.16</v>
      </c>
      <c r="AD24">
        <v>54.12</v>
      </c>
      <c r="AE24">
        <v>54.14</v>
      </c>
      <c r="AF24">
        <v>54.13</v>
      </c>
      <c r="AG24">
        <v>54.12</v>
      </c>
      <c r="AH24">
        <v>54.1</v>
      </c>
      <c r="AI24">
        <v>54.1</v>
      </c>
      <c r="AJ24">
        <v>54.59</v>
      </c>
      <c r="AK24">
        <v>54.77</v>
      </c>
      <c r="AL24">
        <v>54.97</v>
      </c>
      <c r="AM24">
        <v>55.18</v>
      </c>
      <c r="AN24">
        <v>55.41</v>
      </c>
      <c r="AO24">
        <v>55.67</v>
      </c>
      <c r="AP24">
        <v>55.95</v>
      </c>
      <c r="AQ24">
        <v>56.27</v>
      </c>
      <c r="AR24">
        <v>56.62</v>
      </c>
      <c r="AS24">
        <v>56.99</v>
      </c>
      <c r="AT24">
        <v>172.49</v>
      </c>
      <c r="AU24">
        <v>168.65</v>
      </c>
      <c r="AV24">
        <v>166.12</v>
      </c>
      <c r="AW24">
        <v>162.30000000000001</v>
      </c>
    </row>
    <row r="25" spans="2:49" x14ac:dyDescent="0.2">
      <c r="B25" t="s">
        <v>362</v>
      </c>
      <c r="C25" t="s">
        <v>352</v>
      </c>
      <c r="D25">
        <v>0</v>
      </c>
      <c r="E25">
        <v>0</v>
      </c>
      <c r="F25">
        <v>0</v>
      </c>
      <c r="G25">
        <v>0.33</v>
      </c>
      <c r="H25">
        <v>7.68</v>
      </c>
      <c r="I25">
        <v>7.92</v>
      </c>
      <c r="J25">
        <v>8.15</v>
      </c>
      <c r="K25">
        <v>8.2799999999999994</v>
      </c>
      <c r="L25">
        <v>8.4</v>
      </c>
      <c r="M25">
        <v>8.52</v>
      </c>
      <c r="N25">
        <v>8.59</v>
      </c>
      <c r="O25">
        <v>8.64</v>
      </c>
      <c r="P25">
        <v>8.68</v>
      </c>
      <c r="Q25">
        <v>8.73</v>
      </c>
      <c r="R25">
        <v>8.61</v>
      </c>
      <c r="S25">
        <v>8.44</v>
      </c>
      <c r="T25">
        <v>8.44</v>
      </c>
      <c r="U25">
        <v>8.4600000000000009</v>
      </c>
      <c r="V25">
        <v>9.3699999999999992</v>
      </c>
      <c r="W25">
        <v>9.0500000000000007</v>
      </c>
      <c r="X25">
        <v>9.0399999999999991</v>
      </c>
      <c r="Y25">
        <v>9.2799999999999994</v>
      </c>
      <c r="Z25">
        <v>10.86</v>
      </c>
      <c r="AA25">
        <v>10.79</v>
      </c>
      <c r="AB25">
        <v>11.15</v>
      </c>
      <c r="AC25">
        <v>11.1</v>
      </c>
      <c r="AD25">
        <v>11.34</v>
      </c>
      <c r="AE25">
        <v>11.25</v>
      </c>
      <c r="AF25">
        <v>11.16</v>
      </c>
      <c r="AG25">
        <v>11.07</v>
      </c>
      <c r="AH25">
        <v>10.98</v>
      </c>
      <c r="AI25">
        <v>10.89</v>
      </c>
      <c r="AJ25">
        <v>10.89</v>
      </c>
      <c r="AK25">
        <v>10.82</v>
      </c>
      <c r="AL25">
        <v>10.77</v>
      </c>
      <c r="AM25">
        <v>10.71</v>
      </c>
      <c r="AN25">
        <v>10.67</v>
      </c>
      <c r="AO25">
        <v>10.62</v>
      </c>
      <c r="AP25">
        <v>10.58</v>
      </c>
      <c r="AQ25">
        <v>10.55</v>
      </c>
      <c r="AR25">
        <v>10.52</v>
      </c>
      <c r="AS25">
        <v>10.5</v>
      </c>
      <c r="AT25">
        <v>28.91</v>
      </c>
      <c r="AU25">
        <v>27.76</v>
      </c>
      <c r="AV25">
        <v>27.13</v>
      </c>
      <c r="AW25">
        <v>26.33</v>
      </c>
    </row>
    <row r="26" spans="2:49" x14ac:dyDescent="0.2">
      <c r="B26" t="s">
        <v>363</v>
      </c>
      <c r="C26" t="s">
        <v>352</v>
      </c>
      <c r="D26">
        <v>0</v>
      </c>
      <c r="E26">
        <v>0</v>
      </c>
      <c r="F26">
        <v>0</v>
      </c>
      <c r="G26">
        <v>0.68</v>
      </c>
      <c r="H26">
        <v>11.29</v>
      </c>
      <c r="I26">
        <v>11.97</v>
      </c>
      <c r="J26">
        <v>12.33</v>
      </c>
      <c r="K26">
        <v>12.39</v>
      </c>
      <c r="L26">
        <v>12.31</v>
      </c>
      <c r="M26">
        <v>12.17</v>
      </c>
      <c r="N26">
        <v>11.96</v>
      </c>
      <c r="O26">
        <v>11.77</v>
      </c>
      <c r="P26">
        <v>11.63</v>
      </c>
      <c r="Q26">
        <v>11.57</v>
      </c>
      <c r="R26">
        <v>11.1</v>
      </c>
      <c r="S26">
        <v>10.61</v>
      </c>
      <c r="T26">
        <v>10.63</v>
      </c>
      <c r="U26">
        <v>10.71</v>
      </c>
      <c r="V26">
        <v>11.83</v>
      </c>
      <c r="W26">
        <v>11.93</v>
      </c>
      <c r="X26">
        <v>12.04</v>
      </c>
      <c r="Y26">
        <v>12.95</v>
      </c>
      <c r="Z26">
        <v>17.28</v>
      </c>
      <c r="AA26">
        <v>17.34</v>
      </c>
      <c r="AB26">
        <v>17.96</v>
      </c>
      <c r="AC26">
        <v>17.97</v>
      </c>
      <c r="AD26">
        <v>18.39</v>
      </c>
      <c r="AE26">
        <v>18.309999999999999</v>
      </c>
      <c r="AF26">
        <v>18.22</v>
      </c>
      <c r="AG26">
        <v>18.14</v>
      </c>
      <c r="AH26">
        <v>18.07</v>
      </c>
      <c r="AI26">
        <v>18</v>
      </c>
      <c r="AJ26">
        <v>18.11</v>
      </c>
      <c r="AK26">
        <v>18.059999999999999</v>
      </c>
      <c r="AL26">
        <v>18.02</v>
      </c>
      <c r="AM26">
        <v>17.97</v>
      </c>
      <c r="AN26">
        <v>17.93</v>
      </c>
      <c r="AO26">
        <v>17.899999999999999</v>
      </c>
      <c r="AP26">
        <v>17.87</v>
      </c>
      <c r="AQ26">
        <v>17.850000000000001</v>
      </c>
      <c r="AR26">
        <v>17.829999999999998</v>
      </c>
      <c r="AS26">
        <v>17.82</v>
      </c>
      <c r="AT26">
        <v>73.09</v>
      </c>
      <c r="AU26">
        <v>70.569999999999993</v>
      </c>
      <c r="AV26">
        <v>68.12</v>
      </c>
      <c r="AW26">
        <v>65.290000000000006</v>
      </c>
    </row>
    <row r="27" spans="2:49" x14ac:dyDescent="0.2">
      <c r="B27" t="s">
        <v>364</v>
      </c>
      <c r="C27" t="s">
        <v>352</v>
      </c>
      <c r="D27">
        <v>0</v>
      </c>
      <c r="E27">
        <v>0</v>
      </c>
      <c r="F27">
        <v>0</v>
      </c>
      <c r="G27">
        <v>2.4700000000000002</v>
      </c>
      <c r="H27">
        <v>37.159999999999997</v>
      </c>
      <c r="I27">
        <v>40.880000000000003</v>
      </c>
      <c r="J27">
        <v>43.49</v>
      </c>
      <c r="K27">
        <v>45.19</v>
      </c>
      <c r="L27">
        <v>46.54</v>
      </c>
      <c r="M27">
        <v>47.73</v>
      </c>
      <c r="N27">
        <v>48.57</v>
      </c>
      <c r="O27">
        <v>49.46</v>
      </c>
      <c r="P27">
        <v>50.44</v>
      </c>
      <c r="Q27">
        <v>51.69</v>
      </c>
      <c r="R27">
        <v>51.36</v>
      </c>
      <c r="S27">
        <v>50.74</v>
      </c>
      <c r="T27">
        <v>52.02</v>
      </c>
      <c r="U27">
        <v>53.54</v>
      </c>
      <c r="V27">
        <v>62.82</v>
      </c>
      <c r="W27">
        <v>63.58</v>
      </c>
      <c r="X27">
        <v>65.14</v>
      </c>
      <c r="Y27">
        <v>70.02</v>
      </c>
      <c r="Z27">
        <v>90.99</v>
      </c>
      <c r="AA27">
        <v>92.86</v>
      </c>
      <c r="AB27">
        <v>98.6</v>
      </c>
      <c r="AC27">
        <v>100.29</v>
      </c>
      <c r="AD27">
        <v>104.99</v>
      </c>
      <c r="AE27">
        <v>106.32</v>
      </c>
      <c r="AF27">
        <v>107.64</v>
      </c>
      <c r="AG27">
        <v>109.01</v>
      </c>
      <c r="AH27">
        <v>110.43</v>
      </c>
      <c r="AI27">
        <v>111.9</v>
      </c>
      <c r="AJ27">
        <v>114.4</v>
      </c>
      <c r="AK27">
        <v>116.19</v>
      </c>
      <c r="AL27">
        <v>118.03</v>
      </c>
      <c r="AM27">
        <v>119.96</v>
      </c>
      <c r="AN27">
        <v>121.97</v>
      </c>
      <c r="AO27">
        <v>124.06</v>
      </c>
      <c r="AP27">
        <v>126.21</v>
      </c>
      <c r="AQ27">
        <v>128.41</v>
      </c>
      <c r="AR27">
        <v>130.63999999999999</v>
      </c>
      <c r="AS27">
        <v>132.85</v>
      </c>
      <c r="AT27">
        <v>446.72</v>
      </c>
      <c r="AU27">
        <v>441.91</v>
      </c>
      <c r="AV27">
        <v>435.26</v>
      </c>
      <c r="AW27">
        <v>425.77</v>
      </c>
    </row>
    <row r="28" spans="2:49" x14ac:dyDescent="0.2">
      <c r="B28" t="s">
        <v>365</v>
      </c>
      <c r="C28" t="s">
        <v>352</v>
      </c>
      <c r="D28">
        <v>0</v>
      </c>
      <c r="E28">
        <v>0</v>
      </c>
      <c r="F28">
        <v>0</v>
      </c>
      <c r="G28">
        <v>8.6</v>
      </c>
      <c r="H28">
        <v>87.61</v>
      </c>
      <c r="I28">
        <v>93.63</v>
      </c>
      <c r="J28">
        <v>97.33</v>
      </c>
      <c r="K28">
        <v>99.13</v>
      </c>
      <c r="L28">
        <v>100.17</v>
      </c>
      <c r="M28">
        <v>101.02</v>
      </c>
      <c r="N28">
        <v>101.2</v>
      </c>
      <c r="O28">
        <v>101.42</v>
      </c>
      <c r="P28">
        <v>101.77</v>
      </c>
      <c r="Q28">
        <v>102.62</v>
      </c>
      <c r="R28">
        <v>100.3</v>
      </c>
      <c r="S28">
        <v>97.51</v>
      </c>
      <c r="T28">
        <v>98.53</v>
      </c>
      <c r="U28">
        <v>100.01</v>
      </c>
      <c r="V28">
        <v>110.99</v>
      </c>
      <c r="W28">
        <v>110.98</v>
      </c>
      <c r="X28">
        <v>112.59</v>
      </c>
      <c r="Y28">
        <v>120.54</v>
      </c>
      <c r="Z28">
        <v>155.79</v>
      </c>
      <c r="AA28">
        <v>157.68</v>
      </c>
      <c r="AB28">
        <v>164.9</v>
      </c>
      <c r="AC28">
        <v>166.43</v>
      </c>
      <c r="AD28">
        <v>171.92</v>
      </c>
      <c r="AE28">
        <v>172.74</v>
      </c>
      <c r="AF28">
        <v>173.53</v>
      </c>
      <c r="AG28">
        <v>174.35</v>
      </c>
      <c r="AH28">
        <v>175.23</v>
      </c>
      <c r="AI28">
        <v>176.17</v>
      </c>
      <c r="AJ28">
        <v>178.89</v>
      </c>
      <c r="AK28">
        <v>180.26</v>
      </c>
      <c r="AL28">
        <v>181.7</v>
      </c>
      <c r="AM28">
        <v>183.22</v>
      </c>
      <c r="AN28">
        <v>184.86</v>
      </c>
      <c r="AO28">
        <v>186.64</v>
      </c>
      <c r="AP28">
        <v>188.57</v>
      </c>
      <c r="AQ28">
        <v>190.68</v>
      </c>
      <c r="AR28">
        <v>193</v>
      </c>
      <c r="AS28">
        <v>195.48</v>
      </c>
      <c r="AT28">
        <v>748.92</v>
      </c>
      <c r="AU28">
        <v>738.89</v>
      </c>
      <c r="AV28">
        <v>726.53</v>
      </c>
      <c r="AW28">
        <v>709.3</v>
      </c>
    </row>
    <row r="29" spans="2:49" x14ac:dyDescent="0.2">
      <c r="B29" t="s">
        <v>366</v>
      </c>
      <c r="D29">
        <v>0</v>
      </c>
      <c r="E29">
        <v>0</v>
      </c>
      <c r="F29">
        <v>0</v>
      </c>
      <c r="G29">
        <f>SUM(G16:G23)/SUM(G16:G28)</f>
        <v>0.35434173669467778</v>
      </c>
      <c r="H29">
        <f t="shared" ref="H29:AW29" si="1">SUM(H16:H23)/SUM(H16:H28)</f>
        <v>0.41077848574377962</v>
      </c>
      <c r="I29">
        <f t="shared" si="1"/>
        <v>0.41016501650165016</v>
      </c>
      <c r="J29">
        <f t="shared" si="1"/>
        <v>0.4097866054872874</v>
      </c>
      <c r="K29">
        <f t="shared" si="1"/>
        <v>0.40987714687366295</v>
      </c>
      <c r="L29">
        <f t="shared" si="1"/>
        <v>0.41009047875846372</v>
      </c>
      <c r="M29">
        <f t="shared" si="1"/>
        <v>0.41035610144031109</v>
      </c>
      <c r="N29">
        <f t="shared" si="1"/>
        <v>0.41080907659102839</v>
      </c>
      <c r="O29">
        <f t="shared" si="1"/>
        <v>0.41118525579917381</v>
      </c>
      <c r="P29">
        <f t="shared" si="1"/>
        <v>0.41156287527877849</v>
      </c>
      <c r="Q29">
        <f t="shared" si="1"/>
        <v>0.41175475687103602</v>
      </c>
      <c r="R29">
        <f t="shared" si="1"/>
        <v>0.41244490239853454</v>
      </c>
      <c r="S29">
        <f t="shared" si="1"/>
        <v>0.41314389288428938</v>
      </c>
      <c r="T29">
        <f t="shared" si="1"/>
        <v>0.41339445309346706</v>
      </c>
      <c r="U29">
        <f t="shared" si="1"/>
        <v>0.41362709560489352</v>
      </c>
      <c r="V29">
        <f t="shared" si="1"/>
        <v>0.41308803679448081</v>
      </c>
      <c r="W29">
        <f t="shared" si="1"/>
        <v>0.41380176288892789</v>
      </c>
      <c r="X29">
        <f t="shared" si="1"/>
        <v>0.41439193695807913</v>
      </c>
      <c r="Y29">
        <f t="shared" si="1"/>
        <v>0.41494457686344388</v>
      </c>
      <c r="Z29">
        <f t="shared" si="1"/>
        <v>0.41515053064760671</v>
      </c>
      <c r="AA29">
        <f t="shared" si="1"/>
        <v>0.41637751561415681</v>
      </c>
      <c r="AB29">
        <f t="shared" si="1"/>
        <v>0.41747539985797855</v>
      </c>
      <c r="AC29">
        <f t="shared" si="1"/>
        <v>0.41884353287012294</v>
      </c>
      <c r="AD29">
        <f t="shared" si="1"/>
        <v>0.42018643522982968</v>
      </c>
      <c r="AE29">
        <f t="shared" si="1"/>
        <v>0.42169366152276494</v>
      </c>
      <c r="AF29">
        <f t="shared" si="1"/>
        <v>0.4232302144619472</v>
      </c>
      <c r="AG29">
        <f t="shared" si="1"/>
        <v>0.42486315228131816</v>
      </c>
      <c r="AH29">
        <f t="shared" si="1"/>
        <v>0.42653004104988185</v>
      </c>
      <c r="AI29">
        <f t="shared" si="1"/>
        <v>0.42824124009984899</v>
      </c>
      <c r="AJ29">
        <f t="shared" si="1"/>
        <v>0.4298939597924577</v>
      </c>
      <c r="AK29">
        <f t="shared" si="1"/>
        <v>0.43160916962002599</v>
      </c>
      <c r="AL29">
        <f t="shared" si="1"/>
        <v>0.4332939264075662</v>
      </c>
      <c r="AM29">
        <f t="shared" si="1"/>
        <v>0.43497810218978106</v>
      </c>
      <c r="AN29">
        <f t="shared" si="1"/>
        <v>0.43665950792026398</v>
      </c>
      <c r="AO29">
        <f t="shared" si="1"/>
        <v>0.43834272060078511</v>
      </c>
      <c r="AP29">
        <f t="shared" si="1"/>
        <v>0.43998316498316503</v>
      </c>
      <c r="AQ29">
        <f t="shared" si="1"/>
        <v>0.44163405291034552</v>
      </c>
      <c r="AR29">
        <f t="shared" si="1"/>
        <v>0.44329545764189759</v>
      </c>
      <c r="AS29">
        <f t="shared" si="1"/>
        <v>0.44497967179679848</v>
      </c>
      <c r="AT29">
        <f t="shared" si="1"/>
        <v>0.45120444373103186</v>
      </c>
      <c r="AU29">
        <f t="shared" si="1"/>
        <v>0.45327593368830471</v>
      </c>
      <c r="AV29">
        <f t="shared" si="1"/>
        <v>0.45506203093888808</v>
      </c>
      <c r="AW29">
        <f t="shared" si="1"/>
        <v>0.45688691123223835</v>
      </c>
    </row>
    <row r="36" spans="1:50" x14ac:dyDescent="0.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</row>
    <row r="37" spans="1:50" x14ac:dyDescent="0.2">
      <c r="B37" s="67" t="s">
        <v>371</v>
      </c>
    </row>
    <row r="38" spans="1:50" x14ac:dyDescent="0.2">
      <c r="B38" t="s">
        <v>344</v>
      </c>
      <c r="C38" t="s">
        <v>0</v>
      </c>
      <c r="D38">
        <v>2015</v>
      </c>
      <c r="E38">
        <v>2016</v>
      </c>
      <c r="F38">
        <v>2017</v>
      </c>
      <c r="G38">
        <v>2018</v>
      </c>
      <c r="H38">
        <v>2019</v>
      </c>
      <c r="I38">
        <v>2020</v>
      </c>
      <c r="J38">
        <v>2021</v>
      </c>
      <c r="K38">
        <v>2022</v>
      </c>
      <c r="L38">
        <v>2023</v>
      </c>
      <c r="M38">
        <v>2024</v>
      </c>
      <c r="N38">
        <v>2025</v>
      </c>
      <c r="O38">
        <v>2026</v>
      </c>
      <c r="P38">
        <v>2027</v>
      </c>
      <c r="Q38">
        <v>2028</v>
      </c>
      <c r="R38">
        <v>2029</v>
      </c>
      <c r="S38">
        <v>2030</v>
      </c>
      <c r="T38">
        <v>2031</v>
      </c>
      <c r="U38">
        <v>2032</v>
      </c>
      <c r="V38">
        <v>2033</v>
      </c>
      <c r="W38">
        <v>2034</v>
      </c>
      <c r="X38">
        <v>2035</v>
      </c>
      <c r="Y38">
        <v>2036</v>
      </c>
      <c r="Z38">
        <v>2037</v>
      </c>
      <c r="AA38">
        <v>2038</v>
      </c>
      <c r="AB38">
        <v>2039</v>
      </c>
      <c r="AC38">
        <v>2040</v>
      </c>
      <c r="AD38">
        <v>2041</v>
      </c>
      <c r="AE38">
        <v>2042</v>
      </c>
      <c r="AF38">
        <v>2043</v>
      </c>
      <c r="AG38">
        <v>2044</v>
      </c>
      <c r="AH38">
        <v>2045</v>
      </c>
      <c r="AI38">
        <v>2046</v>
      </c>
      <c r="AJ38">
        <v>2047</v>
      </c>
      <c r="AK38">
        <v>2048</v>
      </c>
      <c r="AL38">
        <v>2049</v>
      </c>
      <c r="AM38">
        <v>2050</v>
      </c>
      <c r="AN38">
        <v>2051</v>
      </c>
      <c r="AO38">
        <v>2052</v>
      </c>
      <c r="AP38">
        <v>2053</v>
      </c>
      <c r="AQ38">
        <v>2054</v>
      </c>
      <c r="AR38">
        <v>2055</v>
      </c>
      <c r="AS38">
        <v>2056</v>
      </c>
      <c r="AT38">
        <v>2057</v>
      </c>
      <c r="AU38">
        <v>2058</v>
      </c>
      <c r="AV38">
        <v>2059</v>
      </c>
      <c r="AW38">
        <v>2060</v>
      </c>
    </row>
    <row r="39" spans="1:50" x14ac:dyDescent="0.2">
      <c r="B39" t="s">
        <v>351</v>
      </c>
      <c r="C39" t="s">
        <v>352</v>
      </c>
      <c r="D39">
        <v>0</v>
      </c>
      <c r="E39">
        <v>0</v>
      </c>
      <c r="F39">
        <v>0</v>
      </c>
      <c r="G39">
        <v>93.46</v>
      </c>
      <c r="H39">
        <v>115.42</v>
      </c>
      <c r="I39">
        <v>115.42</v>
      </c>
      <c r="J39">
        <v>115.42</v>
      </c>
      <c r="K39">
        <v>115.42</v>
      </c>
      <c r="L39">
        <v>115.42</v>
      </c>
      <c r="M39">
        <v>115.42</v>
      </c>
      <c r="N39">
        <v>115.42</v>
      </c>
      <c r="O39">
        <v>115.42</v>
      </c>
      <c r="P39">
        <v>115.42</v>
      </c>
      <c r="Q39">
        <v>115.42</v>
      </c>
      <c r="R39">
        <v>115.42</v>
      </c>
      <c r="S39">
        <v>115.42</v>
      </c>
      <c r="T39">
        <v>115.42</v>
      </c>
      <c r="U39">
        <v>115.42</v>
      </c>
      <c r="V39">
        <v>115.42</v>
      </c>
      <c r="W39">
        <v>115.42</v>
      </c>
      <c r="X39">
        <v>115.42</v>
      </c>
      <c r="Y39">
        <v>115.42</v>
      </c>
      <c r="Z39">
        <v>115.42</v>
      </c>
      <c r="AA39">
        <v>115.42</v>
      </c>
      <c r="AB39">
        <v>115.42</v>
      </c>
      <c r="AC39">
        <v>115.42</v>
      </c>
      <c r="AD39">
        <v>115.42</v>
      </c>
      <c r="AE39">
        <v>115.42</v>
      </c>
      <c r="AF39">
        <v>115.42</v>
      </c>
      <c r="AG39">
        <v>115.42</v>
      </c>
      <c r="AH39">
        <v>115.42</v>
      </c>
      <c r="AI39">
        <v>115.42</v>
      </c>
      <c r="AJ39">
        <v>115.42</v>
      </c>
      <c r="AK39">
        <v>115.42</v>
      </c>
      <c r="AL39">
        <v>115.42</v>
      </c>
      <c r="AM39">
        <v>115.42</v>
      </c>
      <c r="AN39">
        <v>115.42</v>
      </c>
      <c r="AO39">
        <v>115.42</v>
      </c>
      <c r="AP39">
        <v>115.42</v>
      </c>
      <c r="AQ39">
        <v>115.42</v>
      </c>
      <c r="AR39">
        <v>115.42</v>
      </c>
      <c r="AS39">
        <v>115.42</v>
      </c>
      <c r="AT39">
        <v>115.42</v>
      </c>
      <c r="AU39">
        <v>115.42</v>
      </c>
      <c r="AV39">
        <v>115.42</v>
      </c>
      <c r="AW39">
        <v>115.42</v>
      </c>
    </row>
    <row r="40" spans="1:50" x14ac:dyDescent="0.2">
      <c r="B40" t="s">
        <v>345</v>
      </c>
      <c r="C40" t="s">
        <v>352</v>
      </c>
      <c r="D40">
        <v>0</v>
      </c>
      <c r="E40">
        <v>0</v>
      </c>
      <c r="F40">
        <v>0</v>
      </c>
      <c r="G40">
        <v>96.03</v>
      </c>
      <c r="H40">
        <v>312.87</v>
      </c>
      <c r="I40">
        <v>335.94</v>
      </c>
      <c r="J40">
        <v>340.21</v>
      </c>
      <c r="K40">
        <v>334.05</v>
      </c>
      <c r="L40">
        <v>322.94</v>
      </c>
      <c r="M40">
        <v>310.82</v>
      </c>
      <c r="N40">
        <v>298.2</v>
      </c>
      <c r="O40">
        <v>287.3</v>
      </c>
      <c r="P40">
        <v>279.04000000000002</v>
      </c>
      <c r="Q40">
        <v>273.79000000000002</v>
      </c>
      <c r="R40">
        <v>249.04</v>
      </c>
      <c r="S40">
        <v>222.77</v>
      </c>
      <c r="T40">
        <v>222.04</v>
      </c>
      <c r="U40">
        <v>224.02</v>
      </c>
      <c r="V40">
        <v>214.28</v>
      </c>
      <c r="W40">
        <v>213.71</v>
      </c>
      <c r="X40">
        <v>218.39</v>
      </c>
      <c r="Y40">
        <v>232.01</v>
      </c>
      <c r="Z40">
        <v>271.95</v>
      </c>
      <c r="AA40">
        <v>283.12</v>
      </c>
      <c r="AB40">
        <v>296.67</v>
      </c>
      <c r="AC40">
        <v>303.52</v>
      </c>
      <c r="AD40">
        <v>311.54000000000002</v>
      </c>
      <c r="AE40">
        <v>313.23</v>
      </c>
      <c r="AF40">
        <v>314.76</v>
      </c>
      <c r="AG40">
        <v>316.63</v>
      </c>
      <c r="AH40">
        <v>319.01</v>
      </c>
      <c r="AI40">
        <v>321.99</v>
      </c>
      <c r="AJ40">
        <v>344.48</v>
      </c>
      <c r="AK40">
        <v>349.63</v>
      </c>
      <c r="AL40">
        <v>354.7</v>
      </c>
      <c r="AM40">
        <v>359.82</v>
      </c>
      <c r="AN40">
        <v>365.16</v>
      </c>
      <c r="AO40">
        <v>370.71</v>
      </c>
      <c r="AP40">
        <v>376.47</v>
      </c>
      <c r="AQ40">
        <v>382.43</v>
      </c>
      <c r="AR40">
        <v>388.55</v>
      </c>
      <c r="AS40">
        <v>394.83</v>
      </c>
      <c r="AT40">
        <v>1187.0899999999999</v>
      </c>
      <c r="AU40">
        <v>1256.05</v>
      </c>
      <c r="AV40">
        <v>1244.4000000000001</v>
      </c>
      <c r="AW40">
        <v>1185.3399999999999</v>
      </c>
    </row>
    <row r="41" spans="1:50" x14ac:dyDescent="0.2">
      <c r="B41" t="s">
        <v>346</v>
      </c>
      <c r="C41" t="s">
        <v>56</v>
      </c>
      <c r="D41">
        <v>0</v>
      </c>
      <c r="E41">
        <v>0</v>
      </c>
      <c r="F41">
        <v>0</v>
      </c>
      <c r="G41">
        <v>2374</v>
      </c>
      <c r="H41">
        <v>6633</v>
      </c>
      <c r="I41">
        <v>6948</v>
      </c>
      <c r="J41">
        <v>6979</v>
      </c>
      <c r="K41">
        <v>6839</v>
      </c>
      <c r="L41">
        <v>6643</v>
      </c>
      <c r="M41">
        <v>6434</v>
      </c>
      <c r="N41">
        <v>6226</v>
      </c>
      <c r="O41">
        <v>6047</v>
      </c>
      <c r="P41">
        <v>5903</v>
      </c>
      <c r="Q41">
        <v>5796</v>
      </c>
      <c r="R41">
        <v>5395</v>
      </c>
      <c r="S41">
        <v>4977</v>
      </c>
      <c r="T41">
        <v>4938</v>
      </c>
      <c r="U41">
        <v>4930</v>
      </c>
      <c r="V41">
        <v>4715</v>
      </c>
      <c r="W41">
        <v>4690</v>
      </c>
      <c r="X41">
        <v>4715</v>
      </c>
      <c r="Y41">
        <v>4843</v>
      </c>
      <c r="Z41">
        <v>5049</v>
      </c>
      <c r="AA41">
        <v>5136</v>
      </c>
      <c r="AB41">
        <v>5247</v>
      </c>
      <c r="AC41">
        <v>5289</v>
      </c>
      <c r="AD41">
        <v>5335</v>
      </c>
      <c r="AE41">
        <v>5312</v>
      </c>
      <c r="AF41">
        <v>5287</v>
      </c>
      <c r="AG41">
        <v>5266</v>
      </c>
      <c r="AH41">
        <v>5250</v>
      </c>
      <c r="AI41">
        <v>5240</v>
      </c>
      <c r="AJ41">
        <v>5399</v>
      </c>
      <c r="AK41">
        <v>5408</v>
      </c>
      <c r="AL41">
        <v>5415</v>
      </c>
      <c r="AM41">
        <v>5421</v>
      </c>
      <c r="AN41">
        <v>5429</v>
      </c>
      <c r="AO41">
        <v>5438</v>
      </c>
      <c r="AP41">
        <v>5449</v>
      </c>
      <c r="AQ41">
        <v>5461</v>
      </c>
      <c r="AR41">
        <v>5473</v>
      </c>
      <c r="AS41">
        <v>5486</v>
      </c>
      <c r="AT41">
        <v>12019</v>
      </c>
      <c r="AU41">
        <v>12508</v>
      </c>
      <c r="AV41">
        <v>12312</v>
      </c>
      <c r="AW41">
        <v>11730</v>
      </c>
    </row>
    <row r="42" spans="1:50" x14ac:dyDescent="0.2">
      <c r="B42" t="s">
        <v>347</v>
      </c>
      <c r="C42" t="s">
        <v>56</v>
      </c>
      <c r="D42">
        <v>0</v>
      </c>
      <c r="E42">
        <v>0</v>
      </c>
      <c r="F42">
        <v>0</v>
      </c>
      <c r="G42">
        <v>2313</v>
      </c>
      <c r="H42">
        <v>6303</v>
      </c>
      <c r="I42">
        <v>6520</v>
      </c>
      <c r="J42">
        <v>6497</v>
      </c>
      <c r="K42">
        <v>6331</v>
      </c>
      <c r="L42">
        <v>6125</v>
      </c>
      <c r="M42">
        <v>5915</v>
      </c>
      <c r="N42">
        <v>5712</v>
      </c>
      <c r="O42">
        <v>5541</v>
      </c>
      <c r="P42">
        <v>5405</v>
      </c>
      <c r="Q42">
        <v>5305</v>
      </c>
      <c r="R42">
        <v>5131</v>
      </c>
      <c r="S42">
        <v>4964</v>
      </c>
      <c r="T42">
        <v>4932</v>
      </c>
      <c r="U42">
        <v>4927</v>
      </c>
      <c r="V42">
        <v>5011</v>
      </c>
      <c r="W42">
        <v>5008</v>
      </c>
      <c r="X42">
        <v>5030</v>
      </c>
      <c r="Y42">
        <v>5150</v>
      </c>
      <c r="Z42">
        <v>5492</v>
      </c>
      <c r="AA42">
        <v>5561</v>
      </c>
      <c r="AB42">
        <v>5656</v>
      </c>
      <c r="AC42">
        <v>5657</v>
      </c>
      <c r="AD42">
        <v>5691</v>
      </c>
      <c r="AE42">
        <v>5660</v>
      </c>
      <c r="AF42">
        <v>5628</v>
      </c>
      <c r="AG42">
        <v>5601</v>
      </c>
      <c r="AH42">
        <v>5579</v>
      </c>
      <c r="AI42">
        <v>5563</v>
      </c>
      <c r="AJ42">
        <v>5710</v>
      </c>
      <c r="AK42">
        <v>5708</v>
      </c>
      <c r="AL42">
        <v>5706</v>
      </c>
      <c r="AM42">
        <v>5704</v>
      </c>
      <c r="AN42">
        <v>5705</v>
      </c>
      <c r="AO42">
        <v>5706</v>
      </c>
      <c r="AP42">
        <v>5709</v>
      </c>
      <c r="AQ42">
        <v>5713</v>
      </c>
      <c r="AR42">
        <v>5717</v>
      </c>
      <c r="AS42">
        <v>5723</v>
      </c>
      <c r="AT42">
        <v>12019</v>
      </c>
      <c r="AU42">
        <v>12378</v>
      </c>
      <c r="AV42">
        <v>12117</v>
      </c>
      <c r="AW42">
        <v>11517</v>
      </c>
    </row>
    <row r="43" spans="1:50" x14ac:dyDescent="0.2">
      <c r="B43" t="s">
        <v>348</v>
      </c>
      <c r="C43" t="s">
        <v>213</v>
      </c>
      <c r="D43">
        <v>0</v>
      </c>
      <c r="E43">
        <v>0</v>
      </c>
      <c r="F43">
        <v>0</v>
      </c>
      <c r="G43">
        <v>77.31</v>
      </c>
      <c r="H43">
        <v>438.46</v>
      </c>
      <c r="I43">
        <v>490.02</v>
      </c>
      <c r="J43">
        <v>526.70000000000005</v>
      </c>
      <c r="K43">
        <v>554.54999999999995</v>
      </c>
      <c r="L43">
        <v>575.54</v>
      </c>
      <c r="M43">
        <v>593.24</v>
      </c>
      <c r="N43">
        <v>608.35</v>
      </c>
      <c r="O43">
        <v>622.12</v>
      </c>
      <c r="P43">
        <v>637.79999999999995</v>
      </c>
      <c r="Q43">
        <v>655.41</v>
      </c>
      <c r="R43">
        <v>653.04</v>
      </c>
      <c r="S43">
        <v>646.94000000000005</v>
      </c>
      <c r="T43">
        <v>665.2</v>
      </c>
      <c r="U43">
        <v>687.69</v>
      </c>
      <c r="V43">
        <v>693.01</v>
      </c>
      <c r="W43">
        <v>733.35</v>
      </c>
      <c r="X43">
        <v>759.96</v>
      </c>
      <c r="Y43">
        <v>833.89</v>
      </c>
      <c r="Z43">
        <v>1062.98</v>
      </c>
      <c r="AA43">
        <v>1106.8900000000001</v>
      </c>
      <c r="AB43">
        <v>1155.1500000000001</v>
      </c>
      <c r="AC43">
        <v>1200.6199999999999</v>
      </c>
      <c r="AD43">
        <v>1247.9000000000001</v>
      </c>
      <c r="AE43">
        <v>1290.32</v>
      </c>
      <c r="AF43">
        <v>1333.96</v>
      </c>
      <c r="AG43">
        <v>1379.43</v>
      </c>
      <c r="AH43">
        <v>1427.08</v>
      </c>
      <c r="AI43">
        <v>1477.39</v>
      </c>
      <c r="AJ43">
        <v>1546.11</v>
      </c>
      <c r="AK43">
        <v>1604.56</v>
      </c>
      <c r="AL43">
        <v>1665.38</v>
      </c>
      <c r="AM43">
        <v>1728.83</v>
      </c>
      <c r="AN43">
        <v>1795.93</v>
      </c>
      <c r="AO43">
        <v>1866.69</v>
      </c>
      <c r="AP43">
        <v>1941.27</v>
      </c>
      <c r="AQ43">
        <v>2019.99</v>
      </c>
      <c r="AR43">
        <v>2102.96</v>
      </c>
      <c r="AS43">
        <v>2190.61</v>
      </c>
      <c r="AT43">
        <v>9432.18</v>
      </c>
      <c r="AU43">
        <v>9670.19</v>
      </c>
      <c r="AV43">
        <v>9801.0300000000007</v>
      </c>
      <c r="AW43">
        <v>9849.51</v>
      </c>
    </row>
    <row r="44" spans="1:50" x14ac:dyDescent="0.2">
      <c r="B44" t="s">
        <v>349</v>
      </c>
      <c r="C44" t="s">
        <v>213</v>
      </c>
      <c r="D44">
        <v>0</v>
      </c>
      <c r="E44">
        <v>0</v>
      </c>
      <c r="F44">
        <v>0</v>
      </c>
      <c r="G44">
        <v>75.52</v>
      </c>
      <c r="H44">
        <v>455.21</v>
      </c>
      <c r="I44">
        <v>488.79</v>
      </c>
      <c r="J44">
        <v>511.18</v>
      </c>
      <c r="K44">
        <v>528.62</v>
      </c>
      <c r="L44">
        <v>541.23</v>
      </c>
      <c r="M44">
        <v>552.49</v>
      </c>
      <c r="N44">
        <v>562.29</v>
      </c>
      <c r="O44">
        <v>571.21</v>
      </c>
      <c r="P44">
        <v>582.54999999999995</v>
      </c>
      <c r="Q44">
        <v>595.97</v>
      </c>
      <c r="R44">
        <v>604.99</v>
      </c>
      <c r="S44">
        <v>614.16</v>
      </c>
      <c r="T44">
        <v>631.52</v>
      </c>
      <c r="U44">
        <v>652.61</v>
      </c>
      <c r="V44">
        <v>678.74</v>
      </c>
      <c r="W44">
        <v>724.11</v>
      </c>
      <c r="X44">
        <v>750.83</v>
      </c>
      <c r="Y44">
        <v>819.73</v>
      </c>
      <c r="Z44">
        <v>1045.3499999999999</v>
      </c>
      <c r="AA44">
        <v>1087.6300000000001</v>
      </c>
      <c r="AB44">
        <v>1133.77</v>
      </c>
      <c r="AC44">
        <v>1174.73</v>
      </c>
      <c r="AD44">
        <v>1219.6099999999999</v>
      </c>
      <c r="AE44">
        <v>1259.48</v>
      </c>
      <c r="AF44">
        <v>1300.45</v>
      </c>
      <c r="AG44">
        <v>1343.05</v>
      </c>
      <c r="AH44">
        <v>1387.63</v>
      </c>
      <c r="AI44">
        <v>1434.37</v>
      </c>
      <c r="AJ44">
        <v>1496.55</v>
      </c>
      <c r="AK44">
        <v>1548.19</v>
      </c>
      <c r="AL44">
        <v>1601.48</v>
      </c>
      <c r="AM44">
        <v>1656.66</v>
      </c>
      <c r="AN44">
        <v>1714</v>
      </c>
      <c r="AO44">
        <v>1773.62</v>
      </c>
      <c r="AP44">
        <v>1835.66</v>
      </c>
      <c r="AQ44">
        <v>1900.27</v>
      </c>
      <c r="AR44">
        <v>1967.54</v>
      </c>
      <c r="AS44">
        <v>2037.51</v>
      </c>
      <c r="AT44">
        <v>10361.64</v>
      </c>
      <c r="AU44">
        <v>10539.89</v>
      </c>
      <c r="AV44">
        <v>10615.72</v>
      </c>
      <c r="AW44">
        <v>10622.14</v>
      </c>
    </row>
    <row r="45" spans="1:50" x14ac:dyDescent="0.2">
      <c r="B45" t="s">
        <v>350</v>
      </c>
      <c r="C45" t="s">
        <v>352</v>
      </c>
      <c r="D45">
        <v>0</v>
      </c>
      <c r="E45">
        <v>0</v>
      </c>
      <c r="F45">
        <v>0</v>
      </c>
      <c r="G45">
        <v>13.85</v>
      </c>
      <c r="H45">
        <v>268.60000000000002</v>
      </c>
      <c r="I45">
        <v>287.83</v>
      </c>
      <c r="J45">
        <v>300.49</v>
      </c>
      <c r="K45">
        <v>306.7</v>
      </c>
      <c r="L45">
        <v>311.26</v>
      </c>
      <c r="M45">
        <v>315.27</v>
      </c>
      <c r="N45">
        <v>316.77</v>
      </c>
      <c r="O45">
        <v>318.64999999999998</v>
      </c>
      <c r="P45">
        <v>320.86</v>
      </c>
      <c r="Q45">
        <v>324.64</v>
      </c>
      <c r="R45">
        <v>317.44</v>
      </c>
      <c r="S45">
        <v>308.27</v>
      </c>
      <c r="T45">
        <v>311.97000000000003</v>
      </c>
      <c r="U45">
        <v>317.10000000000002</v>
      </c>
      <c r="V45">
        <v>362.76</v>
      </c>
      <c r="W45">
        <v>375.25</v>
      </c>
      <c r="X45">
        <v>379.88</v>
      </c>
      <c r="Y45">
        <v>405.99</v>
      </c>
      <c r="Z45">
        <v>526.28</v>
      </c>
      <c r="AA45">
        <v>532.79999999999995</v>
      </c>
      <c r="AB45">
        <v>561.16999999999996</v>
      </c>
      <c r="AC45">
        <v>567.19000000000005</v>
      </c>
      <c r="AD45">
        <v>589.6</v>
      </c>
      <c r="AE45">
        <v>593.47</v>
      </c>
      <c r="AF45">
        <v>597.34</v>
      </c>
      <c r="AG45">
        <v>601.51</v>
      </c>
      <c r="AH45">
        <v>605.94000000000005</v>
      </c>
      <c r="AI45">
        <v>610.69000000000005</v>
      </c>
      <c r="AJ45">
        <v>621.70000000000005</v>
      </c>
      <c r="AK45">
        <v>628.27</v>
      </c>
      <c r="AL45">
        <v>635.09</v>
      </c>
      <c r="AM45">
        <v>642.19000000000005</v>
      </c>
      <c r="AN45">
        <v>649.78</v>
      </c>
      <c r="AO45">
        <v>657.8</v>
      </c>
      <c r="AP45">
        <v>666.25</v>
      </c>
      <c r="AQ45">
        <v>675.16</v>
      </c>
      <c r="AR45">
        <v>684.42</v>
      </c>
      <c r="AS45">
        <v>694.04</v>
      </c>
      <c r="AT45">
        <v>2625.15</v>
      </c>
      <c r="AU45">
        <v>2592.64</v>
      </c>
      <c r="AV45">
        <v>2554.31</v>
      </c>
      <c r="AW45">
        <v>2498.31</v>
      </c>
    </row>
    <row r="46" spans="1:50" x14ac:dyDescent="0.2">
      <c r="B46" t="s">
        <v>367</v>
      </c>
      <c r="C46" t="s">
        <v>352</v>
      </c>
      <c r="D46">
        <v>0</v>
      </c>
      <c r="E46">
        <v>0</v>
      </c>
      <c r="F46">
        <v>0</v>
      </c>
      <c r="G46" s="66">
        <f t="shared" ref="G46:AW46" si="2">G45*G64*0.0622</f>
        <v>-0.33425533959537562</v>
      </c>
      <c r="H46" s="66">
        <f t="shared" si="2"/>
        <v>6.1215578121974827</v>
      </c>
      <c r="I46" s="66">
        <f t="shared" si="2"/>
        <v>6.6081279999999989</v>
      </c>
      <c r="J46" s="66">
        <f t="shared" si="2"/>
        <v>6.9290800000000008</v>
      </c>
      <c r="K46" s="66">
        <f t="shared" si="2"/>
        <v>7.0939099999999984</v>
      </c>
      <c r="L46" s="66">
        <f t="shared" si="2"/>
        <v>7.2190901376252894</v>
      </c>
      <c r="M46" s="66">
        <f t="shared" si="2"/>
        <v>7.3296479999999997</v>
      </c>
      <c r="N46" s="66">
        <f t="shared" si="2"/>
        <v>7.3786298667087609</v>
      </c>
      <c r="O46" s="66">
        <f t="shared" si="2"/>
        <v>7.4357766475240066</v>
      </c>
      <c r="P46" s="66">
        <f t="shared" si="2"/>
        <v>7.5025640000000005</v>
      </c>
      <c r="Q46" s="66">
        <f t="shared" si="2"/>
        <v>7.6041842343591162</v>
      </c>
      <c r="R46" s="66">
        <f t="shared" si="2"/>
        <v>7.4360099999999996</v>
      </c>
      <c r="S46" s="66">
        <f t="shared" si="2"/>
        <v>7.2175342605677191</v>
      </c>
      <c r="T46" s="66">
        <f t="shared" si="2"/>
        <v>7.3194613793191863</v>
      </c>
      <c r="U46" s="66">
        <f t="shared" si="2"/>
        <v>7.4565360000000016</v>
      </c>
      <c r="V46" s="66">
        <f t="shared" si="2"/>
        <v>8.6184319999999985</v>
      </c>
      <c r="W46" s="66">
        <f t="shared" si="2"/>
        <v>8.953068</v>
      </c>
      <c r="X46" s="66">
        <f t="shared" si="2"/>
        <v>9.0915346735107523</v>
      </c>
      <c r="Y46" s="66">
        <f t="shared" si="2"/>
        <v>9.780568906645648</v>
      </c>
      <c r="Z46" s="66">
        <f t="shared" si="2"/>
        <v>12.893060984817676</v>
      </c>
      <c r="AA46" s="66">
        <f t="shared" si="2"/>
        <v>13.106783999999999</v>
      </c>
      <c r="AB46" s="66">
        <f t="shared" si="2"/>
        <v>13.880799354622566</v>
      </c>
      <c r="AC46" s="66">
        <f t="shared" si="2"/>
        <v>14.088299999999998</v>
      </c>
      <c r="AD46" s="66">
        <f t="shared" si="2"/>
        <v>14.725228000000003</v>
      </c>
      <c r="AE46" s="66">
        <f t="shared" si="2"/>
        <v>14.884460000000001</v>
      </c>
      <c r="AF46" s="66">
        <f t="shared" si="2"/>
        <v>15.04618</v>
      </c>
      <c r="AG46" s="66">
        <f t="shared" si="2"/>
        <v>15.219971029393182</v>
      </c>
      <c r="AH46" s="66">
        <f t="shared" si="2"/>
        <v>15.402585999999999</v>
      </c>
      <c r="AI46" s="66">
        <f t="shared" si="2"/>
        <v>15.595661377710098</v>
      </c>
      <c r="AJ46" s="66">
        <f t="shared" si="2"/>
        <v>15.955435284068976</v>
      </c>
      <c r="AK46" s="66">
        <f t="shared" si="2"/>
        <v>16.199003835068282</v>
      </c>
      <c r="AL46" s="66">
        <f t="shared" si="2"/>
        <v>16.451018965548734</v>
      </c>
      <c r="AM46" s="66">
        <f t="shared" si="2"/>
        <v>16.71101378084709</v>
      </c>
      <c r="AN46" s="66">
        <f t="shared" si="2"/>
        <v>16.984593389907197</v>
      </c>
      <c r="AO46" s="66">
        <f t="shared" si="2"/>
        <v>17.272317999999999</v>
      </c>
      <c r="AP46" s="66">
        <f t="shared" si="2"/>
        <v>17.572385750630403</v>
      </c>
      <c r="AQ46" s="66">
        <f t="shared" si="2"/>
        <v>17.886589076291898</v>
      </c>
      <c r="AR46" s="66">
        <f t="shared" si="2"/>
        <v>18.211893907631165</v>
      </c>
      <c r="AS46" s="66">
        <f t="shared" si="2"/>
        <v>18.549551269195852</v>
      </c>
      <c r="AT46" s="66">
        <f t="shared" si="2"/>
        <v>73.021212160151464</v>
      </c>
      <c r="AU46" s="66">
        <f t="shared" si="2"/>
        <v>72.445926570821342</v>
      </c>
      <c r="AV46" s="66">
        <f t="shared" si="2"/>
        <v>71.649704505124674</v>
      </c>
      <c r="AW46" s="66">
        <f t="shared" si="2"/>
        <v>70.349725589256707</v>
      </c>
    </row>
    <row r="47" spans="1:50" x14ac:dyDescent="0.2"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</row>
    <row r="48" spans="1:50" x14ac:dyDescent="0.2"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</row>
    <row r="49" spans="2:49" x14ac:dyDescent="0.2">
      <c r="B49" t="s">
        <v>369</v>
      </c>
    </row>
    <row r="50" spans="2:49" x14ac:dyDescent="0.2">
      <c r="B50" t="s">
        <v>344</v>
      </c>
      <c r="C50" t="s">
        <v>0</v>
      </c>
      <c r="D50">
        <v>2015</v>
      </c>
      <c r="E50">
        <v>2016</v>
      </c>
      <c r="F50">
        <v>2017</v>
      </c>
      <c r="G50">
        <v>2018</v>
      </c>
      <c r="H50">
        <v>2019</v>
      </c>
      <c r="I50">
        <v>2020</v>
      </c>
      <c r="J50">
        <v>2021</v>
      </c>
      <c r="K50">
        <v>2022</v>
      </c>
      <c r="L50">
        <v>2023</v>
      </c>
      <c r="M50">
        <v>2024</v>
      </c>
      <c r="N50">
        <v>2025</v>
      </c>
      <c r="O50">
        <v>2026</v>
      </c>
      <c r="P50">
        <v>2027</v>
      </c>
      <c r="Q50">
        <v>2028</v>
      </c>
      <c r="R50">
        <v>2029</v>
      </c>
      <c r="S50">
        <v>2030</v>
      </c>
      <c r="T50">
        <v>2031</v>
      </c>
      <c r="U50">
        <v>2032</v>
      </c>
      <c r="V50">
        <v>2033</v>
      </c>
      <c r="W50">
        <v>2034</v>
      </c>
      <c r="X50">
        <v>2035</v>
      </c>
      <c r="Y50">
        <v>2036</v>
      </c>
      <c r="Z50">
        <v>2037</v>
      </c>
      <c r="AA50">
        <v>2038</v>
      </c>
      <c r="AB50">
        <v>2039</v>
      </c>
      <c r="AC50">
        <v>2040</v>
      </c>
      <c r="AD50">
        <v>2041</v>
      </c>
      <c r="AE50">
        <v>2042</v>
      </c>
      <c r="AF50">
        <v>2043</v>
      </c>
      <c r="AG50">
        <v>2044</v>
      </c>
      <c r="AH50">
        <v>2045</v>
      </c>
      <c r="AI50">
        <v>2046</v>
      </c>
      <c r="AJ50">
        <v>2047</v>
      </c>
      <c r="AK50">
        <v>2048</v>
      </c>
      <c r="AL50">
        <v>2049</v>
      </c>
      <c r="AM50">
        <v>2050</v>
      </c>
      <c r="AN50">
        <v>2051</v>
      </c>
      <c r="AO50">
        <v>2052</v>
      </c>
      <c r="AP50">
        <v>2053</v>
      </c>
      <c r="AQ50">
        <v>2054</v>
      </c>
      <c r="AR50">
        <v>2055</v>
      </c>
      <c r="AS50">
        <v>2056</v>
      </c>
      <c r="AT50">
        <v>2057</v>
      </c>
      <c r="AU50">
        <v>2058</v>
      </c>
      <c r="AV50">
        <v>2059</v>
      </c>
      <c r="AW50">
        <v>2060</v>
      </c>
    </row>
    <row r="51" spans="2:49" x14ac:dyDescent="0.2">
      <c r="B51" t="s">
        <v>353</v>
      </c>
      <c r="C51" t="s">
        <v>352</v>
      </c>
      <c r="D51">
        <v>0</v>
      </c>
      <c r="E51">
        <v>0</v>
      </c>
      <c r="F51">
        <v>0</v>
      </c>
      <c r="G51">
        <v>-1.87</v>
      </c>
      <c r="H51">
        <v>11.44</v>
      </c>
      <c r="I51">
        <v>12.31</v>
      </c>
      <c r="J51">
        <v>12.74</v>
      </c>
      <c r="K51">
        <v>12.79</v>
      </c>
      <c r="L51">
        <v>12.76</v>
      </c>
      <c r="M51">
        <v>12.7</v>
      </c>
      <c r="N51">
        <v>12.5</v>
      </c>
      <c r="O51">
        <v>12.34</v>
      </c>
      <c r="P51">
        <v>12.2</v>
      </c>
      <c r="Q51">
        <v>12.15</v>
      </c>
      <c r="R51">
        <v>11.51</v>
      </c>
      <c r="S51">
        <v>10.8</v>
      </c>
      <c r="T51">
        <v>10.78</v>
      </c>
      <c r="U51">
        <v>10.83</v>
      </c>
      <c r="V51">
        <v>12.26</v>
      </c>
      <c r="W51">
        <v>12.68</v>
      </c>
      <c r="X51">
        <v>12.71</v>
      </c>
      <c r="Y51">
        <v>13.8</v>
      </c>
      <c r="Z51">
        <v>19.149999999999999</v>
      </c>
      <c r="AA51">
        <v>19.21</v>
      </c>
      <c r="AB51">
        <v>20.04</v>
      </c>
      <c r="AC51">
        <v>20.07</v>
      </c>
      <c r="AD51">
        <v>20.64</v>
      </c>
      <c r="AE51">
        <v>20.55</v>
      </c>
      <c r="AF51">
        <v>20.46</v>
      </c>
      <c r="AG51">
        <v>20.37</v>
      </c>
      <c r="AH51">
        <v>20.29</v>
      </c>
      <c r="AI51">
        <v>20.22</v>
      </c>
      <c r="AJ51">
        <v>20.39</v>
      </c>
      <c r="AK51">
        <v>20.36</v>
      </c>
      <c r="AL51">
        <v>20.329999999999998</v>
      </c>
      <c r="AM51">
        <v>20.29</v>
      </c>
      <c r="AN51">
        <v>20.25</v>
      </c>
      <c r="AO51">
        <v>20.22</v>
      </c>
      <c r="AP51">
        <v>20.2</v>
      </c>
      <c r="AQ51">
        <v>20.170000000000002</v>
      </c>
      <c r="AR51">
        <v>20.16</v>
      </c>
      <c r="AS51">
        <v>20.149999999999999</v>
      </c>
      <c r="AT51">
        <v>90.89</v>
      </c>
      <c r="AU51">
        <v>88.47</v>
      </c>
      <c r="AV51">
        <v>85.65</v>
      </c>
      <c r="AW51">
        <v>82.28</v>
      </c>
    </row>
    <row r="52" spans="2:49" x14ac:dyDescent="0.2">
      <c r="B52" t="s">
        <v>354</v>
      </c>
      <c r="C52" t="s">
        <v>352</v>
      </c>
      <c r="D52">
        <v>0</v>
      </c>
      <c r="E52">
        <v>0</v>
      </c>
      <c r="F52">
        <v>0</v>
      </c>
      <c r="G52">
        <v>-1.4</v>
      </c>
      <c r="H52">
        <v>11.29</v>
      </c>
      <c r="I52">
        <v>12.18</v>
      </c>
      <c r="J52">
        <v>12.79</v>
      </c>
      <c r="K52">
        <v>13.12</v>
      </c>
      <c r="L52">
        <v>13.36</v>
      </c>
      <c r="M52">
        <v>13.57</v>
      </c>
      <c r="N52">
        <v>13.68</v>
      </c>
      <c r="O52">
        <v>13.82</v>
      </c>
      <c r="P52">
        <v>13.99</v>
      </c>
      <c r="Q52">
        <v>14.25</v>
      </c>
      <c r="R52">
        <v>13.98</v>
      </c>
      <c r="S52">
        <v>13.63</v>
      </c>
      <c r="T52">
        <v>13.94</v>
      </c>
      <c r="U52">
        <v>14.31</v>
      </c>
      <c r="V52">
        <v>16.559999999999999</v>
      </c>
      <c r="W52">
        <v>17.399999999999999</v>
      </c>
      <c r="X52">
        <v>17.809999999999999</v>
      </c>
      <c r="Y52">
        <v>19.39</v>
      </c>
      <c r="Z52">
        <v>26.19</v>
      </c>
      <c r="AA52">
        <v>26.76</v>
      </c>
      <c r="AB52">
        <v>28.44</v>
      </c>
      <c r="AC52">
        <v>28.99</v>
      </c>
      <c r="AD52">
        <v>30.39</v>
      </c>
      <c r="AE52">
        <v>30.83</v>
      </c>
      <c r="AF52">
        <v>31.27</v>
      </c>
      <c r="AG52">
        <v>31.72</v>
      </c>
      <c r="AH52">
        <v>32.200000000000003</v>
      </c>
      <c r="AI52">
        <v>32.68</v>
      </c>
      <c r="AJ52">
        <v>33.54</v>
      </c>
      <c r="AK52">
        <v>34.119999999999997</v>
      </c>
      <c r="AL52">
        <v>34.72</v>
      </c>
      <c r="AM52">
        <v>35.340000000000003</v>
      </c>
      <c r="AN52">
        <v>35.979999999999997</v>
      </c>
      <c r="AO52">
        <v>36.65</v>
      </c>
      <c r="AP52">
        <v>37.340000000000003</v>
      </c>
      <c r="AQ52">
        <v>38.06</v>
      </c>
      <c r="AR52">
        <v>38.799999999999997</v>
      </c>
      <c r="AS52">
        <v>39.56</v>
      </c>
      <c r="AT52">
        <v>167.77</v>
      </c>
      <c r="AU52">
        <v>166.05</v>
      </c>
      <c r="AV52">
        <v>164.11</v>
      </c>
      <c r="AW52">
        <v>160.97999999999999</v>
      </c>
    </row>
    <row r="53" spans="2:49" x14ac:dyDescent="0.2">
      <c r="B53" t="s">
        <v>355</v>
      </c>
      <c r="C53" t="s">
        <v>352</v>
      </c>
      <c r="D53">
        <v>0</v>
      </c>
      <c r="E53">
        <v>0</v>
      </c>
      <c r="F53">
        <v>0</v>
      </c>
      <c r="G53">
        <v>-1.28</v>
      </c>
      <c r="H53">
        <v>26.58</v>
      </c>
      <c r="I53">
        <v>28.6</v>
      </c>
      <c r="J53">
        <v>30</v>
      </c>
      <c r="K53">
        <v>30.8</v>
      </c>
      <c r="L53">
        <v>31.45</v>
      </c>
      <c r="M53">
        <v>32.049999999999997</v>
      </c>
      <c r="N53">
        <v>32.44</v>
      </c>
      <c r="O53">
        <v>32.9</v>
      </c>
      <c r="P53">
        <v>33.44</v>
      </c>
      <c r="Q53">
        <v>34.15</v>
      </c>
      <c r="R53">
        <v>33.71</v>
      </c>
      <c r="S53">
        <v>33.07</v>
      </c>
      <c r="T53">
        <v>33.9</v>
      </c>
      <c r="U53">
        <v>34.92</v>
      </c>
      <c r="V53">
        <v>41.03</v>
      </c>
      <c r="W53">
        <v>43.2</v>
      </c>
      <c r="X53">
        <v>44.45</v>
      </c>
      <c r="Y53">
        <v>48.47</v>
      </c>
      <c r="Z53">
        <v>64.92</v>
      </c>
      <c r="AA53">
        <v>66.900000000000006</v>
      </c>
      <c r="AB53">
        <v>71.91</v>
      </c>
      <c r="AC53">
        <v>73.98</v>
      </c>
      <c r="AD53">
        <v>78.47</v>
      </c>
      <c r="AE53">
        <v>80.400000000000006</v>
      </c>
      <c r="AF53">
        <v>82.38</v>
      </c>
      <c r="AG53">
        <v>84.48</v>
      </c>
      <c r="AH53">
        <v>86.66</v>
      </c>
      <c r="AI53">
        <v>88.95</v>
      </c>
      <c r="AJ53">
        <v>92.19</v>
      </c>
      <c r="AK53">
        <v>94.81</v>
      </c>
      <c r="AL53">
        <v>97.52</v>
      </c>
      <c r="AM53">
        <v>100.31</v>
      </c>
      <c r="AN53">
        <v>103.22</v>
      </c>
      <c r="AO53">
        <v>106.25</v>
      </c>
      <c r="AP53">
        <v>109.39</v>
      </c>
      <c r="AQ53">
        <v>112.64</v>
      </c>
      <c r="AR53">
        <v>116</v>
      </c>
      <c r="AS53">
        <v>119.47</v>
      </c>
      <c r="AT53">
        <v>475.12</v>
      </c>
      <c r="AU53">
        <v>476.88</v>
      </c>
      <c r="AV53">
        <v>476.78</v>
      </c>
      <c r="AW53">
        <v>473.24</v>
      </c>
    </row>
    <row r="54" spans="2:49" x14ac:dyDescent="0.2">
      <c r="B54" t="s">
        <v>356</v>
      </c>
      <c r="C54" t="s">
        <v>352</v>
      </c>
      <c r="D54">
        <v>0</v>
      </c>
      <c r="E54">
        <v>0</v>
      </c>
      <c r="F54">
        <v>0</v>
      </c>
      <c r="G54">
        <v>-0.95</v>
      </c>
      <c r="H54">
        <v>8.94</v>
      </c>
      <c r="I54">
        <v>10.29</v>
      </c>
      <c r="J54">
        <v>11.28</v>
      </c>
      <c r="K54">
        <v>11.94</v>
      </c>
      <c r="L54">
        <v>12.48</v>
      </c>
      <c r="M54">
        <v>12.95</v>
      </c>
      <c r="N54">
        <v>13.25</v>
      </c>
      <c r="O54">
        <v>13.51</v>
      </c>
      <c r="P54">
        <v>13.73</v>
      </c>
      <c r="Q54">
        <v>13.97</v>
      </c>
      <c r="R54">
        <v>13.72</v>
      </c>
      <c r="S54">
        <v>13.32</v>
      </c>
      <c r="T54">
        <v>13.38</v>
      </c>
      <c r="U54">
        <v>13.49</v>
      </c>
      <c r="V54">
        <v>16</v>
      </c>
      <c r="W54">
        <v>16.239999999999998</v>
      </c>
      <c r="X54">
        <v>16.22</v>
      </c>
      <c r="Y54">
        <v>16.940000000000001</v>
      </c>
      <c r="Z54">
        <v>21.23</v>
      </c>
      <c r="AA54">
        <v>21.23</v>
      </c>
      <c r="AB54">
        <v>22.33</v>
      </c>
      <c r="AC54">
        <v>22.3</v>
      </c>
      <c r="AD54">
        <v>23.09</v>
      </c>
      <c r="AE54">
        <v>22.98</v>
      </c>
      <c r="AF54">
        <v>22.85</v>
      </c>
      <c r="AG54">
        <v>22.72</v>
      </c>
      <c r="AH54">
        <v>22.6</v>
      </c>
      <c r="AI54">
        <v>22.48</v>
      </c>
      <c r="AJ54">
        <v>22.57</v>
      </c>
      <c r="AK54">
        <v>22.53</v>
      </c>
      <c r="AL54">
        <v>22.49</v>
      </c>
      <c r="AM54">
        <v>22.44</v>
      </c>
      <c r="AN54">
        <v>22.4</v>
      </c>
      <c r="AO54">
        <v>22.37</v>
      </c>
      <c r="AP54">
        <v>22.35</v>
      </c>
      <c r="AQ54">
        <v>22.34</v>
      </c>
      <c r="AR54">
        <v>22.33</v>
      </c>
      <c r="AS54">
        <v>22.33</v>
      </c>
      <c r="AT54">
        <v>72.2</v>
      </c>
      <c r="AU54">
        <v>70.87</v>
      </c>
      <c r="AV54">
        <v>69.3</v>
      </c>
      <c r="AW54">
        <v>67.23</v>
      </c>
    </row>
    <row r="55" spans="2:49" x14ac:dyDescent="0.2">
      <c r="B55" t="s">
        <v>357</v>
      </c>
      <c r="C55" t="s">
        <v>352</v>
      </c>
      <c r="D55">
        <v>0</v>
      </c>
      <c r="E55">
        <v>0</v>
      </c>
      <c r="F55">
        <v>0</v>
      </c>
      <c r="G55">
        <v>-1.18</v>
      </c>
      <c r="H55">
        <v>6.69</v>
      </c>
      <c r="I55">
        <v>7.37</v>
      </c>
      <c r="J55">
        <v>7.84</v>
      </c>
      <c r="K55">
        <v>8.1</v>
      </c>
      <c r="L55">
        <v>8.32</v>
      </c>
      <c r="M55">
        <v>8.51</v>
      </c>
      <c r="N55">
        <v>8.61</v>
      </c>
      <c r="O55">
        <v>8.7200000000000006</v>
      </c>
      <c r="P55">
        <v>8.84</v>
      </c>
      <c r="Q55">
        <v>9</v>
      </c>
      <c r="R55">
        <v>8.76</v>
      </c>
      <c r="S55">
        <v>8.44</v>
      </c>
      <c r="T55">
        <v>8.58</v>
      </c>
      <c r="U55">
        <v>8.75</v>
      </c>
      <c r="V55">
        <v>10.24</v>
      </c>
      <c r="W55">
        <v>10.67</v>
      </c>
      <c r="X55">
        <v>10.81</v>
      </c>
      <c r="Y55">
        <v>11.72</v>
      </c>
      <c r="Z55">
        <v>16.05</v>
      </c>
      <c r="AA55">
        <v>16.25</v>
      </c>
      <c r="AB55">
        <v>17.170000000000002</v>
      </c>
      <c r="AC55">
        <v>17.350000000000001</v>
      </c>
      <c r="AD55">
        <v>18.07</v>
      </c>
      <c r="AE55">
        <v>18.170000000000002</v>
      </c>
      <c r="AF55">
        <v>18.260000000000002</v>
      </c>
      <c r="AG55">
        <v>18.37</v>
      </c>
      <c r="AH55">
        <v>18.47</v>
      </c>
      <c r="AI55">
        <v>18.59</v>
      </c>
      <c r="AJ55">
        <v>18.93</v>
      </c>
      <c r="AK55">
        <v>19.100000000000001</v>
      </c>
      <c r="AL55">
        <v>19.29</v>
      </c>
      <c r="AM55">
        <v>19.47</v>
      </c>
      <c r="AN55">
        <v>19.66</v>
      </c>
      <c r="AO55">
        <v>19.86</v>
      </c>
      <c r="AP55">
        <v>20.07</v>
      </c>
      <c r="AQ55">
        <v>20.3</v>
      </c>
      <c r="AR55">
        <v>20.53</v>
      </c>
      <c r="AS55">
        <v>20.77</v>
      </c>
      <c r="AT55">
        <v>88.76</v>
      </c>
      <c r="AU55">
        <v>87.13</v>
      </c>
      <c r="AV55">
        <v>85.47</v>
      </c>
      <c r="AW55">
        <v>83.21</v>
      </c>
    </row>
    <row r="56" spans="2:49" x14ac:dyDescent="0.2">
      <c r="B56" t="s">
        <v>358</v>
      </c>
      <c r="C56" t="s">
        <v>352</v>
      </c>
      <c r="D56">
        <v>0</v>
      </c>
      <c r="E56">
        <v>0</v>
      </c>
      <c r="F56">
        <v>0</v>
      </c>
      <c r="G56">
        <v>-0.6</v>
      </c>
      <c r="H56">
        <v>7.81</v>
      </c>
      <c r="I56">
        <v>8.4600000000000009</v>
      </c>
      <c r="J56">
        <v>8.9499999999999993</v>
      </c>
      <c r="K56">
        <v>9.25</v>
      </c>
      <c r="L56">
        <v>9.4700000000000006</v>
      </c>
      <c r="M56">
        <v>9.6300000000000008</v>
      </c>
      <c r="N56">
        <v>9.6999999999999993</v>
      </c>
      <c r="O56">
        <v>9.74</v>
      </c>
      <c r="P56">
        <v>9.76</v>
      </c>
      <c r="Q56">
        <v>9.7899999999999991</v>
      </c>
      <c r="R56">
        <v>9.57</v>
      </c>
      <c r="S56">
        <v>9.27</v>
      </c>
      <c r="T56">
        <v>9.2100000000000009</v>
      </c>
      <c r="U56">
        <v>9.16</v>
      </c>
      <c r="V56">
        <v>9.94</v>
      </c>
      <c r="W56">
        <v>9.9600000000000009</v>
      </c>
      <c r="X56">
        <v>9.84</v>
      </c>
      <c r="Y56">
        <v>10.08</v>
      </c>
      <c r="Z56">
        <v>11.87</v>
      </c>
      <c r="AA56">
        <v>11.75</v>
      </c>
      <c r="AB56">
        <v>12.02</v>
      </c>
      <c r="AC56">
        <v>11.89</v>
      </c>
      <c r="AD56">
        <v>12.05</v>
      </c>
      <c r="AE56">
        <v>11.88</v>
      </c>
      <c r="AF56">
        <v>11.7</v>
      </c>
      <c r="AG56">
        <v>11.53</v>
      </c>
      <c r="AH56">
        <v>11.36</v>
      </c>
      <c r="AI56">
        <v>11.18</v>
      </c>
      <c r="AJ56">
        <v>11.11</v>
      </c>
      <c r="AK56">
        <v>10.98</v>
      </c>
      <c r="AL56">
        <v>10.84</v>
      </c>
      <c r="AM56">
        <v>10.71</v>
      </c>
      <c r="AN56">
        <v>10.58</v>
      </c>
      <c r="AO56">
        <v>10.46</v>
      </c>
      <c r="AP56">
        <v>10.33</v>
      </c>
      <c r="AQ56">
        <v>10.220000000000001</v>
      </c>
      <c r="AR56">
        <v>10.11</v>
      </c>
      <c r="AS56">
        <v>10</v>
      </c>
      <c r="AT56">
        <v>30.86</v>
      </c>
      <c r="AU56">
        <v>29.93</v>
      </c>
      <c r="AV56">
        <v>29.06</v>
      </c>
      <c r="AW56">
        <v>27.99</v>
      </c>
    </row>
    <row r="57" spans="2:49" x14ac:dyDescent="0.2">
      <c r="B57" t="s">
        <v>359</v>
      </c>
      <c r="C57" t="s">
        <v>352</v>
      </c>
      <c r="D57">
        <v>0</v>
      </c>
      <c r="E57">
        <v>0</v>
      </c>
      <c r="F57">
        <v>0</v>
      </c>
      <c r="G57">
        <v>-0.02</v>
      </c>
      <c r="H57">
        <v>0.1</v>
      </c>
      <c r="I57">
        <v>0.11</v>
      </c>
      <c r="J57">
        <v>0.12</v>
      </c>
      <c r="K57">
        <v>0.12</v>
      </c>
      <c r="L57">
        <v>0.12</v>
      </c>
      <c r="M57">
        <v>0.11</v>
      </c>
      <c r="N57">
        <v>0.11</v>
      </c>
      <c r="O57">
        <v>0.11</v>
      </c>
      <c r="P57">
        <v>0.11</v>
      </c>
      <c r="Q57">
        <v>0.1</v>
      </c>
      <c r="R57">
        <v>0.1</v>
      </c>
      <c r="S57">
        <v>0.09</v>
      </c>
      <c r="T57">
        <v>0.09</v>
      </c>
      <c r="U57">
        <v>0.09</v>
      </c>
      <c r="V57">
        <v>0.1</v>
      </c>
      <c r="W57">
        <v>0.1</v>
      </c>
      <c r="X57">
        <v>0.1</v>
      </c>
      <c r="Y57">
        <v>0.1</v>
      </c>
      <c r="Z57">
        <v>0.13</v>
      </c>
      <c r="AA57">
        <v>0.13</v>
      </c>
      <c r="AB57">
        <v>0.13</v>
      </c>
      <c r="AC57">
        <v>0.13</v>
      </c>
      <c r="AD57">
        <v>0.13</v>
      </c>
      <c r="AE57">
        <v>0.12</v>
      </c>
      <c r="AF57">
        <v>0.12</v>
      </c>
      <c r="AG57">
        <v>0.12</v>
      </c>
      <c r="AH57">
        <v>0.12</v>
      </c>
      <c r="AI57">
        <v>0.11</v>
      </c>
      <c r="AJ57">
        <v>0.11</v>
      </c>
      <c r="AK57">
        <v>0.11</v>
      </c>
      <c r="AL57">
        <v>0.11</v>
      </c>
      <c r="AM57">
        <v>0.11</v>
      </c>
      <c r="AN57">
        <v>0.11</v>
      </c>
      <c r="AO57">
        <v>0.11</v>
      </c>
      <c r="AP57">
        <v>0.11</v>
      </c>
      <c r="AQ57">
        <v>0.11</v>
      </c>
      <c r="AR57">
        <v>0.11</v>
      </c>
      <c r="AS57">
        <v>0.11</v>
      </c>
      <c r="AT57">
        <v>0.36</v>
      </c>
      <c r="AU57">
        <v>0.35</v>
      </c>
      <c r="AV57">
        <v>0.34</v>
      </c>
      <c r="AW57">
        <v>0.32</v>
      </c>
    </row>
    <row r="58" spans="2:49" x14ac:dyDescent="0.2">
      <c r="B58" t="s">
        <v>360</v>
      </c>
      <c r="C58" t="s">
        <v>352</v>
      </c>
      <c r="D58">
        <v>0</v>
      </c>
      <c r="E58">
        <v>0</v>
      </c>
      <c r="F58">
        <v>0</v>
      </c>
      <c r="G58">
        <v>1.93</v>
      </c>
      <c r="H58">
        <v>25.56</v>
      </c>
      <c r="I58">
        <v>26.92</v>
      </c>
      <c r="J58">
        <v>27.68</v>
      </c>
      <c r="K58">
        <v>27.93</v>
      </c>
      <c r="L58">
        <v>28.11</v>
      </c>
      <c r="M58">
        <v>28.32</v>
      </c>
      <c r="N58">
        <v>28.33</v>
      </c>
      <c r="O58">
        <v>28.41</v>
      </c>
      <c r="P58">
        <v>28.55</v>
      </c>
      <c r="Q58">
        <v>28.84</v>
      </c>
      <c r="R58">
        <v>28.2</v>
      </c>
      <c r="S58">
        <v>27.41</v>
      </c>
      <c r="T58">
        <v>27.8</v>
      </c>
      <c r="U58">
        <v>28.33</v>
      </c>
      <c r="V58">
        <v>32.43</v>
      </c>
      <c r="W58">
        <v>33.69</v>
      </c>
      <c r="X58">
        <v>34.229999999999997</v>
      </c>
      <c r="Y58">
        <v>36.74</v>
      </c>
      <c r="Z58">
        <v>47.74</v>
      </c>
      <c r="AA58">
        <v>48.49</v>
      </c>
      <c r="AB58">
        <v>51.12</v>
      </c>
      <c r="AC58">
        <v>51.79</v>
      </c>
      <c r="AD58">
        <v>53.9</v>
      </c>
      <c r="AE58">
        <v>54.37</v>
      </c>
      <c r="AF58">
        <v>54.86</v>
      </c>
      <c r="AG58">
        <v>55.38</v>
      </c>
      <c r="AH58">
        <v>55.93</v>
      </c>
      <c r="AI58">
        <v>56.52</v>
      </c>
      <c r="AJ58">
        <v>57.67</v>
      </c>
      <c r="AK58">
        <v>58.42</v>
      </c>
      <c r="AL58">
        <v>59.19</v>
      </c>
      <c r="AM58">
        <v>60</v>
      </c>
      <c r="AN58">
        <v>60.86</v>
      </c>
      <c r="AO58">
        <v>61.77</v>
      </c>
      <c r="AP58">
        <v>62.72</v>
      </c>
      <c r="AQ58">
        <v>63.73</v>
      </c>
      <c r="AR58">
        <v>64.760000000000005</v>
      </c>
      <c r="AS58">
        <v>65.83</v>
      </c>
      <c r="AT58">
        <v>248.01</v>
      </c>
      <c r="AU58">
        <v>245.05</v>
      </c>
      <c r="AV58">
        <v>241.21</v>
      </c>
      <c r="AW58">
        <v>235.77</v>
      </c>
    </row>
    <row r="59" spans="2:49" x14ac:dyDescent="0.2">
      <c r="B59" t="s">
        <v>361</v>
      </c>
      <c r="C59" t="s">
        <v>352</v>
      </c>
      <c r="D59">
        <v>0</v>
      </c>
      <c r="E59">
        <v>0</v>
      </c>
      <c r="F59">
        <v>0</v>
      </c>
      <c r="G59">
        <v>4.2</v>
      </c>
      <c r="H59">
        <v>24.54</v>
      </c>
      <c r="I59">
        <v>26.78</v>
      </c>
      <c r="J59">
        <v>28.67</v>
      </c>
      <c r="K59">
        <v>29.95</v>
      </c>
      <c r="L59">
        <v>31.05</v>
      </c>
      <c r="M59">
        <v>32.06</v>
      </c>
      <c r="N59">
        <v>32.75</v>
      </c>
      <c r="O59">
        <v>33.369999999999997</v>
      </c>
      <c r="P59">
        <v>33.89</v>
      </c>
      <c r="Q59">
        <v>34.479999999999997</v>
      </c>
      <c r="R59">
        <v>34.06</v>
      </c>
      <c r="S59">
        <v>33.340000000000003</v>
      </c>
      <c r="T59">
        <v>33.57</v>
      </c>
      <c r="U59">
        <v>33.880000000000003</v>
      </c>
      <c r="V59">
        <v>39.17</v>
      </c>
      <c r="W59">
        <v>39.79</v>
      </c>
      <c r="X59">
        <v>39.82</v>
      </c>
      <c r="Y59">
        <v>41.41</v>
      </c>
      <c r="Z59">
        <v>50.28</v>
      </c>
      <c r="AA59">
        <v>50.28</v>
      </c>
      <c r="AB59">
        <v>52.73</v>
      </c>
      <c r="AC59">
        <v>52.78</v>
      </c>
      <c r="AD59">
        <v>54.58</v>
      </c>
      <c r="AE59">
        <v>54.44</v>
      </c>
      <c r="AF59">
        <v>54.27</v>
      </c>
      <c r="AG59">
        <v>54.11</v>
      </c>
      <c r="AH59">
        <v>53.96</v>
      </c>
      <c r="AI59">
        <v>53.82</v>
      </c>
      <c r="AJ59">
        <v>54.18</v>
      </c>
      <c r="AK59">
        <v>54.23</v>
      </c>
      <c r="AL59">
        <v>54.3</v>
      </c>
      <c r="AM59">
        <v>54.38</v>
      </c>
      <c r="AN59">
        <v>54.48</v>
      </c>
      <c r="AO59">
        <v>54.61</v>
      </c>
      <c r="AP59">
        <v>54.76</v>
      </c>
      <c r="AQ59">
        <v>54.94</v>
      </c>
      <c r="AR59">
        <v>55.14</v>
      </c>
      <c r="AS59">
        <v>55.36</v>
      </c>
      <c r="AT59">
        <v>170.68</v>
      </c>
      <c r="AU59">
        <v>166.68</v>
      </c>
      <c r="AV59">
        <v>163.98</v>
      </c>
      <c r="AW59">
        <v>160</v>
      </c>
    </row>
    <row r="60" spans="2:49" x14ac:dyDescent="0.2">
      <c r="B60" t="s">
        <v>362</v>
      </c>
      <c r="C60" t="s">
        <v>352</v>
      </c>
      <c r="D60">
        <v>0</v>
      </c>
      <c r="E60">
        <v>0</v>
      </c>
      <c r="F60">
        <v>0</v>
      </c>
      <c r="G60">
        <v>0.83</v>
      </c>
      <c r="H60">
        <v>8.25</v>
      </c>
      <c r="I60">
        <v>8.43</v>
      </c>
      <c r="J60">
        <v>8.59</v>
      </c>
      <c r="K60">
        <v>8.66</v>
      </c>
      <c r="L60">
        <v>8.73</v>
      </c>
      <c r="M60">
        <v>8.8000000000000007</v>
      </c>
      <c r="N60">
        <v>8.81</v>
      </c>
      <c r="O60">
        <v>8.82</v>
      </c>
      <c r="P60">
        <v>8.82</v>
      </c>
      <c r="Q60">
        <v>8.84</v>
      </c>
      <c r="R60">
        <v>8.67</v>
      </c>
      <c r="S60">
        <v>8.4600000000000009</v>
      </c>
      <c r="T60">
        <v>8.43</v>
      </c>
      <c r="U60">
        <v>8.42</v>
      </c>
      <c r="V60">
        <v>9.3000000000000007</v>
      </c>
      <c r="W60">
        <v>9.34</v>
      </c>
      <c r="X60">
        <v>9.27</v>
      </c>
      <c r="Y60">
        <v>9.4700000000000006</v>
      </c>
      <c r="Z60">
        <v>11.01</v>
      </c>
      <c r="AA60">
        <v>10.91</v>
      </c>
      <c r="AB60">
        <v>11.24</v>
      </c>
      <c r="AC60">
        <v>11.16</v>
      </c>
      <c r="AD60">
        <v>11.38</v>
      </c>
      <c r="AE60">
        <v>11.26</v>
      </c>
      <c r="AF60">
        <v>11.15</v>
      </c>
      <c r="AG60">
        <v>11.03</v>
      </c>
      <c r="AH60">
        <v>10.92</v>
      </c>
      <c r="AI60">
        <v>10.81</v>
      </c>
      <c r="AJ60">
        <v>10.78</v>
      </c>
      <c r="AK60">
        <v>10.7</v>
      </c>
      <c r="AL60">
        <v>10.63</v>
      </c>
      <c r="AM60">
        <v>10.56</v>
      </c>
      <c r="AN60">
        <v>10.49</v>
      </c>
      <c r="AO60">
        <v>10.43</v>
      </c>
      <c r="AP60">
        <v>10.37</v>
      </c>
      <c r="AQ60">
        <v>10.32</v>
      </c>
      <c r="AR60">
        <v>10.27</v>
      </c>
      <c r="AS60">
        <v>10.220000000000001</v>
      </c>
      <c r="AT60">
        <v>28.61</v>
      </c>
      <c r="AU60">
        <v>27.44</v>
      </c>
      <c r="AV60">
        <v>26.79</v>
      </c>
      <c r="AW60">
        <v>25.96</v>
      </c>
    </row>
    <row r="61" spans="2:49" x14ac:dyDescent="0.2">
      <c r="B61" t="s">
        <v>363</v>
      </c>
      <c r="C61" t="s">
        <v>352</v>
      </c>
      <c r="D61">
        <v>0</v>
      </c>
      <c r="E61">
        <v>0</v>
      </c>
      <c r="F61">
        <v>0</v>
      </c>
      <c r="G61">
        <v>-1.4</v>
      </c>
      <c r="H61">
        <v>8.5399999999999991</v>
      </c>
      <c r="I61">
        <v>9.1</v>
      </c>
      <c r="J61">
        <v>9.36</v>
      </c>
      <c r="K61">
        <v>9.33</v>
      </c>
      <c r="L61">
        <v>9.2100000000000009</v>
      </c>
      <c r="M61">
        <v>9.06</v>
      </c>
      <c r="N61">
        <v>8.83</v>
      </c>
      <c r="O61">
        <v>8.66</v>
      </c>
      <c r="P61">
        <v>8.52</v>
      </c>
      <c r="Q61">
        <v>8.4700000000000006</v>
      </c>
      <c r="R61">
        <v>7.99</v>
      </c>
      <c r="S61">
        <v>7.48</v>
      </c>
      <c r="T61">
        <v>7.53</v>
      </c>
      <c r="U61">
        <v>7.62</v>
      </c>
      <c r="V61">
        <v>8.69</v>
      </c>
      <c r="W61">
        <v>9.1</v>
      </c>
      <c r="X61">
        <v>9.19</v>
      </c>
      <c r="Y61">
        <v>10.11</v>
      </c>
      <c r="Z61">
        <v>14.41</v>
      </c>
      <c r="AA61">
        <v>14.46</v>
      </c>
      <c r="AB61">
        <v>15.08</v>
      </c>
      <c r="AC61">
        <v>15.11</v>
      </c>
      <c r="AD61">
        <v>15.52</v>
      </c>
      <c r="AE61">
        <v>15.45</v>
      </c>
      <c r="AF61">
        <v>15.38</v>
      </c>
      <c r="AG61">
        <v>15.31</v>
      </c>
      <c r="AH61">
        <v>15.26</v>
      </c>
      <c r="AI61">
        <v>15.2</v>
      </c>
      <c r="AJ61">
        <v>15.33</v>
      </c>
      <c r="AK61">
        <v>15.3</v>
      </c>
      <c r="AL61">
        <v>15.27</v>
      </c>
      <c r="AM61">
        <v>15.24</v>
      </c>
      <c r="AN61">
        <v>15.22</v>
      </c>
      <c r="AO61">
        <v>15.2</v>
      </c>
      <c r="AP61">
        <v>15.18</v>
      </c>
      <c r="AQ61">
        <v>15.18</v>
      </c>
      <c r="AR61">
        <v>15.17</v>
      </c>
      <c r="AS61">
        <v>15.16</v>
      </c>
      <c r="AT61">
        <v>70.400000000000006</v>
      </c>
      <c r="AU61">
        <v>67.89</v>
      </c>
      <c r="AV61">
        <v>65.45</v>
      </c>
      <c r="AW61">
        <v>62.63</v>
      </c>
    </row>
    <row r="62" spans="2:49" x14ac:dyDescent="0.2">
      <c r="B62" t="s">
        <v>364</v>
      </c>
      <c r="C62" t="s">
        <v>352</v>
      </c>
      <c r="D62">
        <v>0</v>
      </c>
      <c r="E62">
        <v>0</v>
      </c>
      <c r="F62">
        <v>0</v>
      </c>
      <c r="G62">
        <v>5.95</v>
      </c>
      <c r="H62">
        <v>41.04</v>
      </c>
      <c r="I62">
        <v>44.3</v>
      </c>
      <c r="J62">
        <v>46.51</v>
      </c>
      <c r="K62">
        <v>47.75</v>
      </c>
      <c r="L62">
        <v>48.76</v>
      </c>
      <c r="M62">
        <v>49.66</v>
      </c>
      <c r="N62">
        <v>50.19</v>
      </c>
      <c r="O62">
        <v>50.84</v>
      </c>
      <c r="P62">
        <v>51.57</v>
      </c>
      <c r="Q62">
        <v>52.59</v>
      </c>
      <c r="R62">
        <v>51.94</v>
      </c>
      <c r="S62">
        <v>50.98</v>
      </c>
      <c r="T62">
        <v>52.04</v>
      </c>
      <c r="U62">
        <v>53.34</v>
      </c>
      <c r="V62">
        <v>62.48</v>
      </c>
      <c r="W62">
        <v>64.959999999999994</v>
      </c>
      <c r="X62">
        <v>66.19</v>
      </c>
      <c r="Y62">
        <v>70.83</v>
      </c>
      <c r="Z62">
        <v>91.54</v>
      </c>
      <c r="AA62">
        <v>93.13</v>
      </c>
      <c r="AB62">
        <v>98.7</v>
      </c>
      <c r="AC62">
        <v>100.13</v>
      </c>
      <c r="AD62">
        <v>104.64</v>
      </c>
      <c r="AE62">
        <v>105.72</v>
      </c>
      <c r="AF62">
        <v>106.81</v>
      </c>
      <c r="AG62">
        <v>107.94</v>
      </c>
      <c r="AH62">
        <v>109.11</v>
      </c>
      <c r="AI62">
        <v>110.35</v>
      </c>
      <c r="AJ62">
        <v>112.61</v>
      </c>
      <c r="AK62">
        <v>114.17</v>
      </c>
      <c r="AL62">
        <v>115.77</v>
      </c>
      <c r="AM62">
        <v>117.44</v>
      </c>
      <c r="AN62">
        <v>119.2</v>
      </c>
      <c r="AO62">
        <v>121.02</v>
      </c>
      <c r="AP62">
        <v>122.9</v>
      </c>
      <c r="AQ62">
        <v>124.81</v>
      </c>
      <c r="AR62">
        <v>126.71</v>
      </c>
      <c r="AS62">
        <v>128.59</v>
      </c>
      <c r="AT62">
        <v>442.05</v>
      </c>
      <c r="AU62">
        <v>436.9</v>
      </c>
      <c r="AV62">
        <v>429.9</v>
      </c>
      <c r="AW62">
        <v>420.07</v>
      </c>
    </row>
    <row r="63" spans="2:49" x14ac:dyDescent="0.2">
      <c r="B63" t="s">
        <v>365</v>
      </c>
      <c r="C63" t="s">
        <v>352</v>
      </c>
      <c r="D63">
        <v>0</v>
      </c>
      <c r="E63">
        <v>0</v>
      </c>
      <c r="F63">
        <v>0</v>
      </c>
      <c r="G63">
        <v>9.6300000000000008</v>
      </c>
      <c r="H63">
        <v>87.8</v>
      </c>
      <c r="I63">
        <v>92.98</v>
      </c>
      <c r="J63">
        <v>95.96</v>
      </c>
      <c r="K63">
        <v>96.96</v>
      </c>
      <c r="L63">
        <v>97.46</v>
      </c>
      <c r="M63">
        <v>97.85</v>
      </c>
      <c r="N63">
        <v>97.55</v>
      </c>
      <c r="O63">
        <v>97.42</v>
      </c>
      <c r="P63">
        <v>97.44</v>
      </c>
      <c r="Q63">
        <v>98</v>
      </c>
      <c r="R63">
        <v>95.23</v>
      </c>
      <c r="S63">
        <v>91.96</v>
      </c>
      <c r="T63">
        <v>92.73</v>
      </c>
      <c r="U63">
        <v>93.96</v>
      </c>
      <c r="V63">
        <v>104.56</v>
      </c>
      <c r="W63">
        <v>108.12</v>
      </c>
      <c r="X63">
        <v>109.25</v>
      </c>
      <c r="Y63">
        <v>116.92</v>
      </c>
      <c r="Z63">
        <v>151.75</v>
      </c>
      <c r="AA63">
        <v>153.30000000000001</v>
      </c>
      <c r="AB63">
        <v>160.25</v>
      </c>
      <c r="AC63">
        <v>161.51</v>
      </c>
      <c r="AD63">
        <v>166.74</v>
      </c>
      <c r="AE63">
        <v>167.3</v>
      </c>
      <c r="AF63">
        <v>167.83</v>
      </c>
      <c r="AG63">
        <v>168.42</v>
      </c>
      <c r="AH63">
        <v>169.06</v>
      </c>
      <c r="AI63">
        <v>169.77</v>
      </c>
      <c r="AJ63">
        <v>172.27</v>
      </c>
      <c r="AK63">
        <v>173.43</v>
      </c>
      <c r="AL63">
        <v>174.64</v>
      </c>
      <c r="AM63">
        <v>175.91</v>
      </c>
      <c r="AN63">
        <v>177.32</v>
      </c>
      <c r="AO63">
        <v>178.85</v>
      </c>
      <c r="AP63">
        <v>180.52</v>
      </c>
      <c r="AQ63">
        <v>182.35</v>
      </c>
      <c r="AR63">
        <v>184.34</v>
      </c>
      <c r="AS63">
        <v>186.48</v>
      </c>
      <c r="AT63">
        <v>739.43</v>
      </c>
      <c r="AU63">
        <v>729.01</v>
      </c>
      <c r="AV63">
        <v>716.26</v>
      </c>
      <c r="AW63">
        <v>698.62</v>
      </c>
    </row>
    <row r="64" spans="2:49" x14ac:dyDescent="0.2">
      <c r="B64" t="s">
        <v>366</v>
      </c>
      <c r="D64">
        <v>0</v>
      </c>
      <c r="E64">
        <v>0</v>
      </c>
      <c r="F64">
        <v>0</v>
      </c>
      <c r="G64">
        <f>SUM(G51:G58)/SUM(G51:G63)</f>
        <v>-0.38800578034682071</v>
      </c>
      <c r="H64">
        <f t="shared" ref="H64:AW64" si="3">SUM(H51:H58)/SUM(H51:H63)</f>
        <v>0.36640851887705711</v>
      </c>
      <c r="I64">
        <f t="shared" si="3"/>
        <v>0.36910676440954726</v>
      </c>
      <c r="J64">
        <f t="shared" si="3"/>
        <v>0.37072781124163873</v>
      </c>
      <c r="K64">
        <f t="shared" si="3"/>
        <v>0.37186175415715678</v>
      </c>
      <c r="L64">
        <f t="shared" si="3"/>
        <v>0.37287972243639173</v>
      </c>
      <c r="M64">
        <f t="shared" si="3"/>
        <v>0.37377485964411461</v>
      </c>
      <c r="N64">
        <f t="shared" si="3"/>
        <v>0.37449092344119972</v>
      </c>
      <c r="O64">
        <f t="shared" si="3"/>
        <v>0.37516475240067787</v>
      </c>
      <c r="P64">
        <f t="shared" si="3"/>
        <v>0.37592719566165927</v>
      </c>
      <c r="Q64">
        <f t="shared" si="3"/>
        <v>0.37658257092690139</v>
      </c>
      <c r="R64">
        <f t="shared" si="3"/>
        <v>0.37660660282258063</v>
      </c>
      <c r="S64">
        <f t="shared" si="3"/>
        <v>0.37641524736415244</v>
      </c>
      <c r="T64">
        <f t="shared" si="3"/>
        <v>0.37720366690172441</v>
      </c>
      <c r="U64">
        <f t="shared" si="3"/>
        <v>0.37805108798486287</v>
      </c>
      <c r="V64">
        <f t="shared" si="3"/>
        <v>0.38196052486492438</v>
      </c>
      <c r="W64">
        <f t="shared" si="3"/>
        <v>0.38358427714856763</v>
      </c>
      <c r="X64">
        <f t="shared" si="3"/>
        <v>0.38476927531653898</v>
      </c>
      <c r="Y64">
        <f t="shared" si="3"/>
        <v>0.38730971969062516</v>
      </c>
      <c r="Z64">
        <f t="shared" si="3"/>
        <v>0.39386626636517375</v>
      </c>
      <c r="AA64">
        <f t="shared" si="3"/>
        <v>0.39549549549549551</v>
      </c>
      <c r="AB64">
        <f t="shared" si="3"/>
        <v>0.39767624206999785</v>
      </c>
      <c r="AC64">
        <f t="shared" si="3"/>
        <v>0.39933708281175612</v>
      </c>
      <c r="AD64">
        <f t="shared" si="3"/>
        <v>0.40152645861601094</v>
      </c>
      <c r="AE64">
        <f t="shared" si="3"/>
        <v>0.40322172982627597</v>
      </c>
      <c r="AF64">
        <f t="shared" si="3"/>
        <v>0.40496199819198447</v>
      </c>
      <c r="AG64">
        <f t="shared" si="3"/>
        <v>0.40679966749792185</v>
      </c>
      <c r="AH64">
        <f t="shared" si="3"/>
        <v>0.4086708254942733</v>
      </c>
      <c r="AI64">
        <f t="shared" si="3"/>
        <v>0.41057509661361113</v>
      </c>
      <c r="AJ64">
        <f t="shared" si="3"/>
        <v>0.41260777248745339</v>
      </c>
      <c r="AK64">
        <f t="shared" si="3"/>
        <v>0.41452583325374848</v>
      </c>
      <c r="AL64">
        <f t="shared" si="3"/>
        <v>0.41645410171626523</v>
      </c>
      <c r="AM64">
        <f t="shared" si="3"/>
        <v>0.41835876673933353</v>
      </c>
      <c r="AN64">
        <f t="shared" si="3"/>
        <v>0.42024100835680317</v>
      </c>
      <c r="AO64">
        <f t="shared" si="3"/>
        <v>0.42214958954089393</v>
      </c>
      <c r="AP64">
        <f t="shared" si="3"/>
        <v>0.42403638328530258</v>
      </c>
      <c r="AQ64">
        <f t="shared" si="3"/>
        <v>0.42592236029444441</v>
      </c>
      <c r="AR64">
        <f t="shared" si="3"/>
        <v>0.42780123606504677</v>
      </c>
      <c r="AS64">
        <f t="shared" si="3"/>
        <v>0.42969324092618472</v>
      </c>
      <c r="AT64">
        <f t="shared" si="3"/>
        <v>0.44720281584982136</v>
      </c>
      <c r="AU64">
        <f t="shared" si="3"/>
        <v>0.44924305247526652</v>
      </c>
      <c r="AV64">
        <f t="shared" si="3"/>
        <v>0.45097286927925451</v>
      </c>
      <c r="AW64">
        <f t="shared" si="3"/>
        <v>0.45271584677580762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1"/>
  <sheetViews>
    <sheetView workbookViewId="0">
      <pane xSplit="2" ySplit="4" topLeftCell="M5" activePane="bottomRight" state="frozen"/>
      <selection pane="topRight" activeCell="C1" sqref="C1"/>
      <selection pane="bottomLeft" activeCell="A5" sqref="A5"/>
      <selection pane="bottomRight" activeCell="U30" sqref="U30"/>
    </sheetView>
  </sheetViews>
  <sheetFormatPr defaultRowHeight="12.75" x14ac:dyDescent="0.2"/>
  <cols>
    <col min="1" max="1" width="2.5703125" customWidth="1"/>
    <col min="2" max="2" width="58.5703125" customWidth="1"/>
    <col min="3" max="3" width="25.7109375" customWidth="1"/>
    <col min="19" max="19" width="4.42578125" customWidth="1"/>
  </cols>
  <sheetData>
    <row r="1" spans="2:19" x14ac:dyDescent="0.2">
      <c r="B1" t="s">
        <v>212</v>
      </c>
    </row>
    <row r="3" spans="2:19" x14ac:dyDescent="0.2">
      <c r="B3" t="s">
        <v>219</v>
      </c>
    </row>
    <row r="4" spans="2:19" x14ac:dyDescent="0.2">
      <c r="B4" t="s">
        <v>221</v>
      </c>
      <c r="C4" t="s">
        <v>0</v>
      </c>
      <c r="D4">
        <v>2001</v>
      </c>
      <c r="E4">
        <v>2002</v>
      </c>
      <c r="F4">
        <v>2003</v>
      </c>
      <c r="G4">
        <v>2004</v>
      </c>
      <c r="H4">
        <v>2005</v>
      </c>
      <c r="I4">
        <v>2006</v>
      </c>
      <c r="J4">
        <v>2007</v>
      </c>
      <c r="K4">
        <v>2008</v>
      </c>
      <c r="L4">
        <v>2009</v>
      </c>
      <c r="M4">
        <v>2010</v>
      </c>
      <c r="N4">
        <v>2011</v>
      </c>
      <c r="O4">
        <v>2012</v>
      </c>
      <c r="P4">
        <v>2013</v>
      </c>
      <c r="Q4">
        <v>2014</v>
      </c>
      <c r="R4">
        <v>2015</v>
      </c>
    </row>
    <row r="6" spans="2:19" x14ac:dyDescent="0.2">
      <c r="B6" t="s">
        <v>193</v>
      </c>
      <c r="C6" t="s">
        <v>220</v>
      </c>
      <c r="D6" s="8">
        <v>12.866</v>
      </c>
      <c r="E6" s="8">
        <v>13.260999999999999</v>
      </c>
      <c r="F6" s="8">
        <v>13.29</v>
      </c>
      <c r="G6" s="8">
        <v>13.584</v>
      </c>
      <c r="H6" s="8">
        <v>14.054</v>
      </c>
      <c r="I6" s="8">
        <v>13.742000000000001</v>
      </c>
      <c r="J6" s="8">
        <v>13.359</v>
      </c>
      <c r="K6" s="8">
        <v>13.593999999999999</v>
      </c>
      <c r="L6" s="8">
        <v>13.63</v>
      </c>
      <c r="M6" s="8">
        <v>13.554</v>
      </c>
      <c r="N6" s="8">
        <v>12.821</v>
      </c>
      <c r="O6" s="8">
        <v>13.098000000000001</v>
      </c>
      <c r="P6" s="8">
        <v>13.624000000000001</v>
      </c>
      <c r="Q6" s="8">
        <v>13.871</v>
      </c>
      <c r="R6" s="8">
        <v>14.185</v>
      </c>
      <c r="S6" t="s">
        <v>222</v>
      </c>
    </row>
    <row r="7" spans="2:19" x14ac:dyDescent="0.2">
      <c r="B7" t="s">
        <v>184</v>
      </c>
      <c r="C7" t="s">
        <v>220</v>
      </c>
      <c r="D7" s="8">
        <v>10.217000000000001</v>
      </c>
      <c r="E7" s="8">
        <v>10.436999999999999</v>
      </c>
      <c r="F7" s="8">
        <v>10.884</v>
      </c>
      <c r="G7" s="8">
        <v>11.214</v>
      </c>
      <c r="H7" s="8">
        <v>12.592000000000001</v>
      </c>
      <c r="I7" s="8">
        <v>13.124000000000001</v>
      </c>
      <c r="J7" s="8">
        <v>13.231999999999999</v>
      </c>
      <c r="K7" s="8">
        <v>13.714</v>
      </c>
      <c r="L7" s="8">
        <v>13.138999999999999</v>
      </c>
      <c r="M7" s="8">
        <v>13.263999999999999</v>
      </c>
      <c r="N7" s="8">
        <v>13.145</v>
      </c>
      <c r="O7" s="8">
        <v>14.215999999999999</v>
      </c>
      <c r="P7" s="8">
        <v>14.5</v>
      </c>
      <c r="Q7" s="8">
        <v>14.744999999999999</v>
      </c>
      <c r="R7" s="8">
        <v>15.186</v>
      </c>
      <c r="S7" t="s">
        <v>222</v>
      </c>
    </row>
    <row r="8" spans="2:19" x14ac:dyDescent="0.2">
      <c r="B8" t="s">
        <v>200</v>
      </c>
      <c r="C8" t="s">
        <v>220</v>
      </c>
      <c r="D8" s="8">
        <v>11.718999999999999</v>
      </c>
      <c r="E8" s="8">
        <v>11.922000000000001</v>
      </c>
      <c r="F8" s="8">
        <v>12.302</v>
      </c>
      <c r="G8" s="8">
        <v>12.847</v>
      </c>
      <c r="H8" s="8">
        <v>13.151999999999999</v>
      </c>
      <c r="I8" s="8">
        <v>13.468</v>
      </c>
      <c r="J8" s="8">
        <v>13.808</v>
      </c>
      <c r="K8" s="8">
        <v>14.135</v>
      </c>
      <c r="L8" s="8">
        <v>14.442</v>
      </c>
      <c r="M8" s="8">
        <v>14.851000000000001</v>
      </c>
      <c r="N8" s="8">
        <v>15.212</v>
      </c>
      <c r="O8" s="8">
        <v>16.111999999999998</v>
      </c>
      <c r="P8" s="8">
        <v>15.936999999999999</v>
      </c>
      <c r="Q8" s="8">
        <v>16.405000000000001</v>
      </c>
      <c r="R8" s="8">
        <v>16.832000000000001</v>
      </c>
      <c r="S8" t="s">
        <v>222</v>
      </c>
    </row>
    <row r="9" spans="2:19" x14ac:dyDescent="0.2">
      <c r="B9" t="s">
        <v>192</v>
      </c>
      <c r="C9" t="s">
        <v>220</v>
      </c>
      <c r="D9" s="8">
        <v>15.654999999999999</v>
      </c>
      <c r="E9" s="8">
        <v>16.434000000000001</v>
      </c>
      <c r="F9" s="8">
        <v>16.286999999999999</v>
      </c>
      <c r="G9" s="8">
        <v>16.911000000000001</v>
      </c>
      <c r="H9" s="8">
        <v>17.213999999999999</v>
      </c>
      <c r="I9" s="8">
        <v>16.721</v>
      </c>
      <c r="J9" s="8">
        <v>16.187000000000001</v>
      </c>
      <c r="K9" s="8">
        <v>17.119</v>
      </c>
      <c r="L9" s="8">
        <v>17.263000000000002</v>
      </c>
      <c r="M9" s="8">
        <v>17.37</v>
      </c>
      <c r="N9" s="8">
        <v>16.145</v>
      </c>
      <c r="O9" s="8">
        <v>16.635000000000002</v>
      </c>
      <c r="P9" s="8">
        <v>17.187000000000001</v>
      </c>
      <c r="Q9" s="8">
        <v>17.866</v>
      </c>
      <c r="R9" s="8">
        <v>18.308</v>
      </c>
      <c r="S9" t="s">
        <v>222</v>
      </c>
    </row>
    <row r="10" spans="2:19" x14ac:dyDescent="0.2">
      <c r="B10" t="s">
        <v>204</v>
      </c>
      <c r="C10" t="s">
        <v>220</v>
      </c>
      <c r="D10" s="8">
        <v>12.596</v>
      </c>
      <c r="E10" s="8">
        <v>12.842000000000001</v>
      </c>
      <c r="F10" s="8">
        <v>12.895</v>
      </c>
      <c r="G10" s="8">
        <v>13.282</v>
      </c>
      <c r="H10" s="8">
        <v>13.037000000000001</v>
      </c>
      <c r="I10" s="8">
        <v>13.743</v>
      </c>
      <c r="J10" s="8">
        <v>14.451000000000001</v>
      </c>
      <c r="K10" s="8">
        <v>15.478</v>
      </c>
      <c r="L10" s="8">
        <v>15.012</v>
      </c>
      <c r="M10" s="8">
        <v>15.324999999999999</v>
      </c>
      <c r="N10" s="8">
        <v>14.551</v>
      </c>
      <c r="O10" s="8">
        <v>16.126999999999999</v>
      </c>
      <c r="P10" s="8">
        <v>17.036000000000001</v>
      </c>
      <c r="Q10" s="8">
        <v>17.774000000000001</v>
      </c>
      <c r="R10" s="8">
        <v>18.465</v>
      </c>
      <c r="S10" t="s">
        <v>222</v>
      </c>
    </row>
    <row r="11" spans="2:19" x14ac:dyDescent="0.2">
      <c r="B11" t="s">
        <v>55</v>
      </c>
      <c r="C11" t="s">
        <v>220</v>
      </c>
      <c r="D11" s="8">
        <v>25.164000000000001</v>
      </c>
      <c r="E11" s="8">
        <v>24.196000000000002</v>
      </c>
      <c r="F11" s="8">
        <v>22.867999999999999</v>
      </c>
      <c r="G11" s="8">
        <v>24.131</v>
      </c>
      <c r="H11" s="8">
        <v>23.033999999999999</v>
      </c>
      <c r="I11" s="8">
        <v>26.335000000000001</v>
      </c>
      <c r="J11" s="8">
        <v>27.489000000000001</v>
      </c>
      <c r="K11" s="8">
        <v>22.408999999999999</v>
      </c>
      <c r="L11" s="8">
        <v>21.898</v>
      </c>
      <c r="M11" s="8">
        <v>23.888000000000002</v>
      </c>
      <c r="N11" s="8">
        <v>20.686</v>
      </c>
      <c r="O11" s="8">
        <v>18.236999999999998</v>
      </c>
      <c r="P11" s="8">
        <v>17.416</v>
      </c>
      <c r="Q11" s="8">
        <v>18.170000000000002</v>
      </c>
      <c r="R11" s="8">
        <v>18.565999999999999</v>
      </c>
      <c r="S11" t="s">
        <v>222</v>
      </c>
    </row>
    <row r="12" spans="2:19" x14ac:dyDescent="0.2">
      <c r="B12" t="s">
        <v>150</v>
      </c>
      <c r="C12" t="s">
        <v>220</v>
      </c>
      <c r="D12" s="8">
        <v>16.099</v>
      </c>
      <c r="E12" s="8">
        <v>16.427</v>
      </c>
      <c r="F12" s="8">
        <v>15.848000000000001</v>
      </c>
      <c r="G12" s="8">
        <v>18.064</v>
      </c>
      <c r="H12" s="8">
        <v>19.309000000000001</v>
      </c>
      <c r="I12" s="8">
        <v>20.026</v>
      </c>
      <c r="J12" s="8">
        <v>17.937000000000001</v>
      </c>
      <c r="K12" s="8">
        <v>17.146000000000001</v>
      </c>
      <c r="L12" s="8">
        <v>17.904</v>
      </c>
      <c r="M12" s="8">
        <v>18.529</v>
      </c>
      <c r="N12" s="8">
        <v>19.167999999999999</v>
      </c>
      <c r="O12" s="8">
        <v>18.954000000000001</v>
      </c>
      <c r="P12" s="8">
        <v>19.36</v>
      </c>
      <c r="Q12" s="8">
        <v>18.548999999999999</v>
      </c>
      <c r="R12" s="8">
        <v>19.038</v>
      </c>
      <c r="S12" t="s">
        <v>222</v>
      </c>
    </row>
    <row r="13" spans="2:19" x14ac:dyDescent="0.2">
      <c r="B13" t="s">
        <v>198</v>
      </c>
      <c r="C13" t="s">
        <v>220</v>
      </c>
      <c r="D13" s="8">
        <v>24.024000000000001</v>
      </c>
      <c r="E13" s="8">
        <v>22.774000000000001</v>
      </c>
      <c r="F13" s="8">
        <v>23.013000000000002</v>
      </c>
      <c r="G13" s="8">
        <v>23.573</v>
      </c>
      <c r="H13" s="8">
        <v>23.885000000000002</v>
      </c>
      <c r="I13" s="8">
        <v>22.95</v>
      </c>
      <c r="J13" s="8">
        <v>24.027000000000001</v>
      </c>
      <c r="K13" s="8">
        <v>23.669</v>
      </c>
      <c r="L13" s="8">
        <v>23.579000000000001</v>
      </c>
      <c r="M13" s="8">
        <v>23.579000000000001</v>
      </c>
      <c r="N13" s="8">
        <v>21.547000000000001</v>
      </c>
      <c r="O13" s="8">
        <v>22.004000000000001</v>
      </c>
      <c r="P13" s="8">
        <v>22.207000000000001</v>
      </c>
      <c r="Q13" s="8">
        <v>21.856000000000002</v>
      </c>
      <c r="R13" s="8">
        <v>22.422999999999998</v>
      </c>
      <c r="S13" t="s">
        <v>222</v>
      </c>
    </row>
    <row r="14" spans="2:19" x14ac:dyDescent="0.2">
      <c r="B14" t="s">
        <v>144</v>
      </c>
      <c r="C14" t="s">
        <v>220</v>
      </c>
      <c r="D14" s="8">
        <v>18.393000000000001</v>
      </c>
      <c r="E14" s="8">
        <v>18.968</v>
      </c>
      <c r="F14" s="8">
        <v>19.837</v>
      </c>
      <c r="G14" s="8">
        <v>20.446000000000002</v>
      </c>
      <c r="H14" s="8">
        <v>21.286999999999999</v>
      </c>
      <c r="I14" s="8">
        <v>22.48</v>
      </c>
      <c r="J14" s="8">
        <v>22.364000000000001</v>
      </c>
      <c r="K14" s="8">
        <v>22.850999999999999</v>
      </c>
      <c r="L14" s="8">
        <v>22.786000000000001</v>
      </c>
      <c r="M14" s="8">
        <v>23.390999999999998</v>
      </c>
      <c r="N14" s="8">
        <v>23.510999999999999</v>
      </c>
      <c r="O14" s="8">
        <v>24.084</v>
      </c>
      <c r="P14" s="8">
        <v>24.244</v>
      </c>
      <c r="Q14" s="8">
        <v>24.555</v>
      </c>
      <c r="R14" s="8">
        <v>25.411999999999999</v>
      </c>
      <c r="S14" t="s">
        <v>222</v>
      </c>
    </row>
    <row r="15" spans="2:19" x14ac:dyDescent="0.2">
      <c r="B15" t="s">
        <v>58</v>
      </c>
      <c r="C15" t="s">
        <v>220</v>
      </c>
      <c r="D15" s="8">
        <v>18.768000000000001</v>
      </c>
      <c r="E15" s="8">
        <v>18.047999999999998</v>
      </c>
      <c r="F15" s="8">
        <v>19.126000000000001</v>
      </c>
      <c r="G15" s="8">
        <v>20.908000000000001</v>
      </c>
      <c r="H15" s="8">
        <v>20.442</v>
      </c>
      <c r="I15" s="8">
        <v>22.722000000000001</v>
      </c>
      <c r="J15" s="8">
        <v>20.978999999999999</v>
      </c>
      <c r="K15" s="8">
        <v>20.733000000000001</v>
      </c>
      <c r="L15" s="8">
        <v>20.975999999999999</v>
      </c>
      <c r="M15" s="8">
        <v>20.832000000000001</v>
      </c>
      <c r="N15" s="8">
        <v>21.974</v>
      </c>
      <c r="O15" s="8">
        <v>23.78</v>
      </c>
      <c r="P15" s="8">
        <v>23.8</v>
      </c>
      <c r="Q15" s="8">
        <v>25.527000000000001</v>
      </c>
      <c r="R15" s="8">
        <v>26.001000000000001</v>
      </c>
      <c r="S15" t="s">
        <v>222</v>
      </c>
    </row>
    <row r="16" spans="2:19" x14ac:dyDescent="0.2">
      <c r="B16" t="s">
        <v>209</v>
      </c>
      <c r="C16" t="s">
        <v>220</v>
      </c>
      <c r="D16" s="8">
        <v>17.791</v>
      </c>
      <c r="E16" s="8">
        <v>18.963000000000001</v>
      </c>
      <c r="F16" s="8">
        <v>19.582999999999998</v>
      </c>
      <c r="G16" s="8">
        <v>20.154</v>
      </c>
      <c r="H16" s="8">
        <v>21.111000000000001</v>
      </c>
      <c r="I16" s="8">
        <v>21.939</v>
      </c>
      <c r="J16" s="8">
        <v>23.12</v>
      </c>
      <c r="K16" s="8">
        <v>24.850999999999999</v>
      </c>
      <c r="L16" s="8">
        <v>25.777999999999999</v>
      </c>
      <c r="M16" s="8">
        <v>25.896999999999998</v>
      </c>
      <c r="N16" s="8">
        <v>25.948</v>
      </c>
      <c r="O16" s="8">
        <v>27.356000000000002</v>
      </c>
      <c r="P16" s="8">
        <v>27.773</v>
      </c>
      <c r="Q16" s="8">
        <v>28.806000000000001</v>
      </c>
      <c r="R16" s="8">
        <v>29.748999999999999</v>
      </c>
      <c r="S16" t="s">
        <v>222</v>
      </c>
    </row>
    <row r="17" spans="2:19" x14ac:dyDescent="0.2">
      <c r="B17" t="s">
        <v>191</v>
      </c>
      <c r="C17" t="s">
        <v>220</v>
      </c>
      <c r="D17" s="8">
        <v>19.626999999999999</v>
      </c>
      <c r="E17" s="8">
        <v>20.748000000000001</v>
      </c>
      <c r="F17" s="8">
        <v>21.777000000000001</v>
      </c>
      <c r="G17" s="8">
        <v>23.652999999999999</v>
      </c>
      <c r="H17" s="8">
        <v>24.292000000000002</v>
      </c>
      <c r="I17" s="8">
        <v>25.359000000000002</v>
      </c>
      <c r="J17" s="8">
        <v>26.481999999999999</v>
      </c>
      <c r="K17" s="8">
        <v>27.792000000000002</v>
      </c>
      <c r="L17" s="8">
        <v>29.117000000000001</v>
      </c>
      <c r="M17" s="8">
        <v>29.31</v>
      </c>
      <c r="N17" s="8">
        <v>29.664999999999999</v>
      </c>
      <c r="O17" s="8">
        <v>30.103999999999999</v>
      </c>
      <c r="P17" s="8">
        <v>30.084</v>
      </c>
      <c r="Q17" s="8">
        <v>30.478000000000002</v>
      </c>
      <c r="R17" s="8">
        <v>31.039000000000001</v>
      </c>
      <c r="S17" t="s">
        <v>222</v>
      </c>
    </row>
    <row r="18" spans="2:19" x14ac:dyDescent="0.2">
      <c r="B18" t="s">
        <v>67</v>
      </c>
      <c r="C18" t="s">
        <v>220</v>
      </c>
      <c r="D18" s="8">
        <v>21.599</v>
      </c>
      <c r="E18" s="8">
        <v>23.152000000000001</v>
      </c>
      <c r="F18" s="8">
        <v>22.027000000000001</v>
      </c>
      <c r="G18" s="8">
        <v>21.207999999999998</v>
      </c>
      <c r="H18" s="8">
        <v>22.515000000000001</v>
      </c>
      <c r="I18" s="8">
        <v>24.722999999999999</v>
      </c>
      <c r="J18" s="8">
        <v>25.689</v>
      </c>
      <c r="K18" s="8">
        <v>29.641999999999999</v>
      </c>
      <c r="L18" s="8">
        <v>28.254000000000001</v>
      </c>
      <c r="M18" s="8">
        <v>28.92</v>
      </c>
      <c r="N18" s="8">
        <v>29.279</v>
      </c>
      <c r="O18" s="8">
        <v>30.77</v>
      </c>
      <c r="P18" s="8">
        <v>32.463999999999999</v>
      </c>
      <c r="Q18" s="8">
        <v>32.152999999999999</v>
      </c>
      <c r="R18" s="8">
        <v>33.042999999999999</v>
      </c>
      <c r="S18" t="s">
        <v>222</v>
      </c>
    </row>
    <row r="19" spans="2:19" x14ac:dyDescent="0.2">
      <c r="B19" t="s">
        <v>199</v>
      </c>
      <c r="C19" t="s">
        <v>220</v>
      </c>
      <c r="D19" s="8">
        <v>27.152000000000001</v>
      </c>
      <c r="E19" s="8">
        <v>27.875</v>
      </c>
      <c r="F19" s="8">
        <v>28.042000000000002</v>
      </c>
      <c r="G19" s="8">
        <v>29.795999999999999</v>
      </c>
      <c r="H19" s="8">
        <v>30.937999999999999</v>
      </c>
      <c r="I19" s="8">
        <v>30.922999999999998</v>
      </c>
      <c r="J19" s="8">
        <v>32.36</v>
      </c>
      <c r="K19" s="8">
        <v>32.613</v>
      </c>
      <c r="L19" s="8">
        <v>31.411999999999999</v>
      </c>
      <c r="M19" s="8">
        <v>32.07</v>
      </c>
      <c r="N19" s="8">
        <v>32.472999999999999</v>
      </c>
      <c r="O19" s="8">
        <v>32.533000000000001</v>
      </c>
      <c r="P19" s="8">
        <v>32.881999999999998</v>
      </c>
      <c r="Q19" s="8">
        <v>32.921999999999997</v>
      </c>
      <c r="R19" s="8">
        <v>33.799999999999997</v>
      </c>
      <c r="S19" t="s">
        <v>222</v>
      </c>
    </row>
    <row r="20" spans="2:19" x14ac:dyDescent="0.2">
      <c r="B20" t="s">
        <v>189</v>
      </c>
      <c r="C20" t="s">
        <v>220</v>
      </c>
      <c r="D20" s="8">
        <v>26.044</v>
      </c>
      <c r="E20" s="8">
        <v>25.914000000000001</v>
      </c>
      <c r="F20" s="8">
        <v>26.552</v>
      </c>
      <c r="G20" s="8">
        <v>27.597999999999999</v>
      </c>
      <c r="H20" s="8">
        <v>28.564</v>
      </c>
      <c r="I20" s="8">
        <v>29.861999999999998</v>
      </c>
      <c r="J20" s="8">
        <v>30.388000000000002</v>
      </c>
      <c r="K20" s="8">
        <v>31.782</v>
      </c>
      <c r="L20" s="8">
        <v>32.482999999999997</v>
      </c>
      <c r="M20" s="8">
        <v>33.686</v>
      </c>
      <c r="N20" s="8">
        <v>33.271999999999998</v>
      </c>
      <c r="O20" s="8">
        <v>34.180999999999997</v>
      </c>
      <c r="P20" s="8">
        <v>33.380000000000003</v>
      </c>
      <c r="Q20" s="8">
        <v>33.636000000000003</v>
      </c>
      <c r="R20" s="8">
        <v>34.247999999999998</v>
      </c>
      <c r="S20" t="s">
        <v>222</v>
      </c>
    </row>
    <row r="21" spans="2:19" x14ac:dyDescent="0.2">
      <c r="B21" t="s">
        <v>123</v>
      </c>
      <c r="C21" t="s">
        <v>220</v>
      </c>
      <c r="D21" s="8">
        <v>25.667999999999999</v>
      </c>
      <c r="E21" s="8">
        <v>27.222000000000001</v>
      </c>
      <c r="F21" s="8">
        <v>25.995999999999999</v>
      </c>
      <c r="G21" s="8">
        <v>26.651</v>
      </c>
      <c r="H21" s="8">
        <v>29.881</v>
      </c>
      <c r="I21" s="8">
        <v>29.914999999999999</v>
      </c>
      <c r="J21" s="8">
        <v>29.547999999999998</v>
      </c>
      <c r="K21" s="8">
        <v>29.382999999999999</v>
      </c>
      <c r="L21" s="8">
        <v>30.2</v>
      </c>
      <c r="M21" s="8">
        <v>30.890999999999998</v>
      </c>
      <c r="N21" s="8">
        <v>31.123000000000001</v>
      </c>
      <c r="O21" s="8">
        <v>34.018000000000001</v>
      </c>
      <c r="P21" s="8">
        <v>33.984999999999999</v>
      </c>
      <c r="Q21" s="8">
        <v>34.094999999999999</v>
      </c>
      <c r="R21" s="8">
        <v>35.290999999999997</v>
      </c>
      <c r="S21" t="s">
        <v>222</v>
      </c>
    </row>
    <row r="22" spans="2:19" x14ac:dyDescent="0.2">
      <c r="B22" t="s">
        <v>122</v>
      </c>
      <c r="C22" t="s">
        <v>220</v>
      </c>
      <c r="D22" s="8">
        <v>24.556999999999999</v>
      </c>
      <c r="E22" s="8">
        <v>24.837</v>
      </c>
      <c r="F22" s="8">
        <v>26.669</v>
      </c>
      <c r="G22" s="8">
        <v>29.128</v>
      </c>
      <c r="H22" s="8">
        <v>28.893000000000001</v>
      </c>
      <c r="I22" s="8">
        <v>29.373000000000001</v>
      </c>
      <c r="J22" s="8">
        <v>30.236999999999998</v>
      </c>
      <c r="K22" s="8">
        <v>30.692</v>
      </c>
      <c r="L22" s="8">
        <v>31.256</v>
      </c>
      <c r="M22" s="8">
        <v>32.512</v>
      </c>
      <c r="N22" s="8">
        <v>32.729999999999997</v>
      </c>
      <c r="O22" s="8">
        <v>34.118000000000002</v>
      </c>
      <c r="P22" s="8">
        <v>34.834000000000003</v>
      </c>
      <c r="Q22" s="8">
        <v>37.106999999999999</v>
      </c>
      <c r="R22" s="8">
        <v>38.142000000000003</v>
      </c>
      <c r="S22" t="s">
        <v>222</v>
      </c>
    </row>
    <row r="23" spans="2:19" x14ac:dyDescent="0.2">
      <c r="B23" t="s">
        <v>153</v>
      </c>
      <c r="C23" t="s">
        <v>220</v>
      </c>
      <c r="D23" s="8">
        <v>30.966999999999999</v>
      </c>
      <c r="E23" s="8">
        <v>30.754999999999999</v>
      </c>
      <c r="F23" s="8">
        <v>32.881999999999998</v>
      </c>
      <c r="G23" s="8">
        <v>36.015000000000001</v>
      </c>
      <c r="H23" s="8">
        <v>37.192</v>
      </c>
      <c r="I23" s="8">
        <v>34.363999999999997</v>
      </c>
      <c r="J23" s="8">
        <v>36.566000000000003</v>
      </c>
      <c r="K23" s="8">
        <v>36.634</v>
      </c>
      <c r="L23" s="8">
        <v>38.734999999999999</v>
      </c>
      <c r="M23" s="8">
        <v>39.743000000000002</v>
      </c>
      <c r="N23" s="8">
        <v>38.896000000000001</v>
      </c>
      <c r="O23" s="8">
        <v>39.173000000000002</v>
      </c>
      <c r="P23" s="8">
        <v>38.683999999999997</v>
      </c>
      <c r="Q23" s="8">
        <v>38.151000000000003</v>
      </c>
      <c r="R23" s="8">
        <v>39.39</v>
      </c>
      <c r="S23" t="s">
        <v>222</v>
      </c>
    </row>
    <row r="24" spans="2:19" x14ac:dyDescent="0.2">
      <c r="B24" t="s">
        <v>196</v>
      </c>
      <c r="C24" t="s">
        <v>220</v>
      </c>
      <c r="D24" s="8">
        <v>7.1840000000000002</v>
      </c>
      <c r="E24" s="8">
        <v>6.6109999999999998</v>
      </c>
      <c r="F24" s="8">
        <v>6.4059999999999997</v>
      </c>
      <c r="G24" s="8">
        <v>7.4820000000000002</v>
      </c>
      <c r="H24" s="8">
        <v>6.87</v>
      </c>
      <c r="I24" s="8">
        <v>4.8339999999999996</v>
      </c>
      <c r="J24" s="8">
        <v>5.08</v>
      </c>
      <c r="K24" s="8">
        <v>5.032</v>
      </c>
      <c r="L24" s="8">
        <v>5.2720000000000002</v>
      </c>
      <c r="M24" s="8">
        <v>4.1900000000000004</v>
      </c>
      <c r="N24" s="8">
        <v>3.3490000000000002</v>
      </c>
      <c r="O24" s="8">
        <v>3.399</v>
      </c>
      <c r="P24" s="8">
        <v>3.15</v>
      </c>
      <c r="Q24" s="8">
        <v>3.0910000000000002</v>
      </c>
      <c r="R24" s="8">
        <v>3.1869999999999998</v>
      </c>
    </row>
    <row r="25" spans="2:19" x14ac:dyDescent="0.2">
      <c r="B25" t="s">
        <v>195</v>
      </c>
      <c r="C25" t="s">
        <v>220</v>
      </c>
      <c r="D25" s="8">
        <v>3.4550000000000001</v>
      </c>
      <c r="E25" s="8">
        <v>4.8460000000000001</v>
      </c>
      <c r="F25" s="8">
        <v>4.1660000000000004</v>
      </c>
      <c r="G25" s="8">
        <v>4.2050000000000001</v>
      </c>
      <c r="H25" s="8">
        <v>3.1379999999999999</v>
      </c>
      <c r="I25" s="8">
        <v>8.7620000000000005</v>
      </c>
      <c r="J25" s="8">
        <v>9.2279999999999998</v>
      </c>
      <c r="K25" s="8">
        <v>7.4530000000000003</v>
      </c>
      <c r="L25" s="8">
        <v>6.5709999999999997</v>
      </c>
      <c r="M25" s="8">
        <v>5.4850000000000003</v>
      </c>
      <c r="N25" s="8">
        <v>7.5490000000000004</v>
      </c>
      <c r="O25" s="8">
        <v>3.2879999999999998</v>
      </c>
      <c r="P25" s="8">
        <v>4.4770000000000003</v>
      </c>
      <c r="Q25" s="8">
        <v>4</v>
      </c>
      <c r="R25" s="8">
        <v>4.125</v>
      </c>
    </row>
    <row r="26" spans="2:19" x14ac:dyDescent="0.2">
      <c r="B26" t="s">
        <v>194</v>
      </c>
      <c r="C26" t="s">
        <v>220</v>
      </c>
      <c r="D26" s="8">
        <v>1.8089999999999999</v>
      </c>
      <c r="E26" s="8">
        <v>1.8220000000000001</v>
      </c>
      <c r="F26" s="8">
        <v>1.8740000000000001</v>
      </c>
      <c r="G26" s="8">
        <v>1.9750000000000001</v>
      </c>
      <c r="H26" s="8">
        <v>1.956</v>
      </c>
      <c r="I26" s="8">
        <v>1.069</v>
      </c>
      <c r="J26" s="8">
        <v>1.069</v>
      </c>
      <c r="K26" s="8">
        <v>1.012</v>
      </c>
      <c r="L26" s="8">
        <v>1.034</v>
      </c>
      <c r="M26" s="8">
        <v>1.087</v>
      </c>
      <c r="N26" s="8">
        <v>5.2030000000000003</v>
      </c>
      <c r="O26" s="8">
        <v>4.452</v>
      </c>
      <c r="P26" s="8">
        <v>4.5270000000000001</v>
      </c>
      <c r="Q26" s="8">
        <v>4.5579999999999998</v>
      </c>
      <c r="R26" s="8">
        <v>4.6890000000000001</v>
      </c>
    </row>
    <row r="27" spans="2:19" x14ac:dyDescent="0.2">
      <c r="B27" t="s">
        <v>205</v>
      </c>
      <c r="C27" t="s">
        <v>220</v>
      </c>
      <c r="D27" s="8">
        <v>7.9989999999999997</v>
      </c>
      <c r="E27" s="8">
        <v>7.8920000000000003</v>
      </c>
      <c r="F27" s="8">
        <v>8.0660000000000007</v>
      </c>
      <c r="G27" s="8">
        <v>7.8949999999999996</v>
      </c>
      <c r="H27" s="8">
        <v>7.5490000000000004</v>
      </c>
      <c r="I27" s="8">
        <v>7.9109999999999996</v>
      </c>
      <c r="J27" s="8">
        <v>7.41</v>
      </c>
      <c r="K27" s="8">
        <v>7.0910000000000002</v>
      </c>
      <c r="L27" s="8">
        <v>6.7309999999999999</v>
      </c>
      <c r="M27" s="8">
        <v>6.577</v>
      </c>
      <c r="N27" s="8">
        <v>5.7469999999999999</v>
      </c>
      <c r="O27" s="8">
        <v>5.7130000000000001</v>
      </c>
      <c r="P27" s="8">
        <v>5.6639999999999997</v>
      </c>
      <c r="Q27" s="8">
        <v>5.4669999999999996</v>
      </c>
      <c r="R27" s="8">
        <v>5.6239999999999997</v>
      </c>
    </row>
    <row r="28" spans="2:19" x14ac:dyDescent="0.2">
      <c r="B28" t="s">
        <v>208</v>
      </c>
      <c r="C28" t="s">
        <v>220</v>
      </c>
      <c r="D28" s="8">
        <v>10.781000000000001</v>
      </c>
      <c r="E28" s="8">
        <v>10.724</v>
      </c>
      <c r="F28" s="8">
        <v>10.833</v>
      </c>
      <c r="G28" s="8">
        <v>10.712999999999999</v>
      </c>
      <c r="H28" s="8">
        <v>10.32</v>
      </c>
      <c r="I28" s="8">
        <v>10.82</v>
      </c>
      <c r="J28" s="8">
        <v>10.109</v>
      </c>
      <c r="K28" s="8">
        <v>9.3330000000000002</v>
      </c>
      <c r="L28" s="8">
        <v>8.8040000000000003</v>
      </c>
      <c r="M28" s="8">
        <v>8.44</v>
      </c>
      <c r="N28" s="8">
        <v>7.1669999999999998</v>
      </c>
      <c r="O28" s="8">
        <v>7.1429999999999998</v>
      </c>
      <c r="P28" s="8">
        <v>7.07</v>
      </c>
      <c r="Q28" s="8">
        <v>6.6909999999999998</v>
      </c>
      <c r="R28" s="8">
        <v>6.8920000000000003</v>
      </c>
    </row>
    <row r="29" spans="2:19" x14ac:dyDescent="0.2">
      <c r="B29" t="s">
        <v>207</v>
      </c>
      <c r="C29" t="s">
        <v>220</v>
      </c>
      <c r="D29" s="8">
        <v>10.387</v>
      </c>
      <c r="E29" s="8">
        <v>10.166</v>
      </c>
      <c r="F29" s="8">
        <v>10.353</v>
      </c>
      <c r="G29" s="8">
        <v>10.161</v>
      </c>
      <c r="H29" s="8">
        <v>9.75</v>
      </c>
      <c r="I29" s="8">
        <v>10.308</v>
      </c>
      <c r="J29" s="8">
        <v>9.7479999999999993</v>
      </c>
      <c r="K29" s="8">
        <v>9.1859999999999999</v>
      </c>
      <c r="L29" s="8">
        <v>8.6690000000000005</v>
      </c>
      <c r="M29" s="8">
        <v>8.3079999999999998</v>
      </c>
      <c r="N29" s="8">
        <v>7.2320000000000002</v>
      </c>
      <c r="O29" s="8">
        <v>7.274</v>
      </c>
      <c r="P29" s="8">
        <v>7.1189999999999998</v>
      </c>
      <c r="Q29" s="8">
        <v>6.8490000000000002</v>
      </c>
      <c r="R29" s="8">
        <v>7.1440000000000001</v>
      </c>
    </row>
    <row r="30" spans="2:19" x14ac:dyDescent="0.2">
      <c r="B30" t="s">
        <v>165</v>
      </c>
      <c r="C30" t="s">
        <v>220</v>
      </c>
      <c r="D30" s="8">
        <v>6.8079999999999998</v>
      </c>
      <c r="E30" s="8">
        <v>7.8289999999999997</v>
      </c>
      <c r="F30" s="8">
        <v>6.8869999999999996</v>
      </c>
      <c r="G30" s="8">
        <v>6.8209999999999997</v>
      </c>
      <c r="H30" s="8">
        <v>6.5940000000000003</v>
      </c>
      <c r="I30" s="8">
        <v>6.4930000000000003</v>
      </c>
      <c r="J30" s="8">
        <v>6.4</v>
      </c>
      <c r="K30" s="8">
        <v>6.5570000000000004</v>
      </c>
      <c r="L30" s="8">
        <v>6.7510000000000003</v>
      </c>
      <c r="M30" s="8">
        <v>6.5350000000000001</v>
      </c>
      <c r="N30" s="8">
        <v>6.4119999999999999</v>
      </c>
      <c r="O30" s="8">
        <v>6.9749999999999996</v>
      </c>
      <c r="P30" s="8">
        <v>6.7590000000000003</v>
      </c>
      <c r="Q30" s="8">
        <v>7.0759999999999996</v>
      </c>
      <c r="R30" s="8">
        <v>7.2750000000000004</v>
      </c>
    </row>
    <row r="31" spans="2:19" x14ac:dyDescent="0.2">
      <c r="B31" t="s">
        <v>206</v>
      </c>
      <c r="C31" t="s">
        <v>220</v>
      </c>
      <c r="D31" s="8">
        <v>12.173</v>
      </c>
      <c r="E31" s="8">
        <v>11.944000000000001</v>
      </c>
      <c r="F31" s="8">
        <v>12.223000000000001</v>
      </c>
      <c r="G31" s="8">
        <v>12.08</v>
      </c>
      <c r="H31" s="8">
        <v>11.731</v>
      </c>
      <c r="I31" s="8">
        <v>12.284000000000001</v>
      </c>
      <c r="J31" s="8">
        <v>11.756</v>
      </c>
      <c r="K31" s="8">
        <v>11.476000000000001</v>
      </c>
      <c r="L31" s="8">
        <v>10.894</v>
      </c>
      <c r="M31" s="8">
        <v>10.675000000000001</v>
      </c>
      <c r="N31" s="8">
        <v>9.7270000000000003</v>
      </c>
      <c r="O31" s="8">
        <v>9.6769999999999996</v>
      </c>
      <c r="P31" s="8">
        <v>9.4290000000000003</v>
      </c>
      <c r="Q31" s="8">
        <v>9.3149999999999995</v>
      </c>
      <c r="R31" s="8">
        <v>9.5009999999999994</v>
      </c>
    </row>
    <row r="32" spans="2:19" x14ac:dyDescent="0.2">
      <c r="B32" t="s">
        <v>211</v>
      </c>
      <c r="C32" t="s">
        <v>220</v>
      </c>
      <c r="D32" s="8">
        <v>8.7970000000000006</v>
      </c>
      <c r="E32" s="8">
        <v>8.093</v>
      </c>
      <c r="F32" s="8">
        <v>8.8369999999999997</v>
      </c>
      <c r="G32" s="8">
        <v>9.2690000000000001</v>
      </c>
      <c r="H32" s="8">
        <v>9.4079999999999995</v>
      </c>
      <c r="I32" s="8">
        <v>10.130000000000001</v>
      </c>
      <c r="J32" s="8">
        <v>10.635</v>
      </c>
      <c r="K32" s="8">
        <v>11.397</v>
      </c>
      <c r="L32" s="8">
        <v>10.676</v>
      </c>
      <c r="M32" s="8">
        <v>10.584</v>
      </c>
      <c r="N32" s="8">
        <v>10.683</v>
      </c>
      <c r="O32" s="8">
        <v>10.268000000000001</v>
      </c>
      <c r="P32" s="8">
        <v>10.811</v>
      </c>
      <c r="Q32" s="8">
        <v>11.217000000000001</v>
      </c>
      <c r="R32" s="8">
        <v>11.548999999999999</v>
      </c>
    </row>
    <row r="33" spans="2:18" x14ac:dyDescent="0.2">
      <c r="B33" t="s">
        <v>59</v>
      </c>
      <c r="C33" t="s">
        <v>220</v>
      </c>
      <c r="D33" s="8">
        <v>14.753</v>
      </c>
      <c r="E33" s="8">
        <v>17.195</v>
      </c>
      <c r="F33" s="8">
        <v>14.804</v>
      </c>
      <c r="G33" s="8">
        <v>16.510000000000002</v>
      </c>
      <c r="H33" s="8">
        <v>16.484000000000002</v>
      </c>
      <c r="I33" s="8">
        <v>18.396000000000001</v>
      </c>
      <c r="J33" s="8">
        <v>19.442</v>
      </c>
      <c r="K33" s="8">
        <v>17.882999999999999</v>
      </c>
      <c r="L33" s="8">
        <v>16.114999999999998</v>
      </c>
      <c r="M33" s="8">
        <v>13.388999999999999</v>
      </c>
      <c r="N33" s="8">
        <v>17.670000000000002</v>
      </c>
      <c r="O33" s="8">
        <v>14.912000000000001</v>
      </c>
      <c r="P33" s="8">
        <v>12.18</v>
      </c>
      <c r="Q33" s="8">
        <v>11.778</v>
      </c>
      <c r="R33" s="8">
        <v>11.984999999999999</v>
      </c>
    </row>
    <row r="34" spans="2:18" x14ac:dyDescent="0.2">
      <c r="B34" t="s">
        <v>162</v>
      </c>
      <c r="C34" t="s">
        <v>220</v>
      </c>
      <c r="D34" s="8">
        <v>20.495999999999999</v>
      </c>
      <c r="E34" s="8">
        <v>20.861999999999998</v>
      </c>
      <c r="F34" s="8">
        <v>20.943999999999999</v>
      </c>
      <c r="G34" s="8">
        <v>22.716000000000001</v>
      </c>
      <c r="H34" s="8">
        <v>23.277999999999999</v>
      </c>
      <c r="I34" s="8">
        <v>23.513000000000002</v>
      </c>
      <c r="J34" s="8">
        <v>21.172999999999998</v>
      </c>
      <c r="K34" s="8">
        <v>18.135000000000002</v>
      </c>
      <c r="L34" s="8">
        <v>12.954000000000001</v>
      </c>
      <c r="M34" s="8">
        <v>14.048999999999999</v>
      </c>
      <c r="N34" s="8">
        <v>11.55</v>
      </c>
      <c r="O34" s="8">
        <v>12.82</v>
      </c>
      <c r="P34" s="8">
        <v>12.794</v>
      </c>
      <c r="Q34" s="8">
        <v>13.618</v>
      </c>
      <c r="R34" s="8">
        <v>13.939</v>
      </c>
    </row>
    <row r="35" spans="2:18" x14ac:dyDescent="0.2">
      <c r="B35" t="s">
        <v>201</v>
      </c>
      <c r="C35" t="s">
        <v>220</v>
      </c>
      <c r="D35" s="8">
        <v>14.438000000000001</v>
      </c>
      <c r="E35" s="8">
        <v>14.544</v>
      </c>
      <c r="F35" s="8">
        <v>14.709</v>
      </c>
      <c r="G35" s="8">
        <v>15.260999999999999</v>
      </c>
      <c r="H35" s="8">
        <v>14.785</v>
      </c>
      <c r="I35" s="8">
        <v>15.456</v>
      </c>
      <c r="J35" s="8">
        <v>16.341999999999999</v>
      </c>
      <c r="K35" s="8">
        <v>17.687000000000001</v>
      </c>
      <c r="L35" s="8">
        <v>17.164999999999999</v>
      </c>
      <c r="M35" s="8">
        <v>17.457000000000001</v>
      </c>
      <c r="N35" s="8">
        <v>16.567</v>
      </c>
      <c r="O35" s="8">
        <v>17.829000000000001</v>
      </c>
      <c r="P35" s="8">
        <v>18.989999999999998</v>
      </c>
      <c r="Q35" s="8">
        <v>19.969000000000001</v>
      </c>
      <c r="R35" s="8">
        <v>20.346</v>
      </c>
    </row>
    <row r="36" spans="2:18" x14ac:dyDescent="0.2">
      <c r="B36" t="s">
        <v>57</v>
      </c>
      <c r="C36" t="s">
        <v>220</v>
      </c>
      <c r="D36" s="8">
        <v>14.441000000000001</v>
      </c>
      <c r="E36" s="8">
        <v>14.57</v>
      </c>
      <c r="F36" s="8">
        <v>17.009</v>
      </c>
      <c r="G36" s="8">
        <v>18.5</v>
      </c>
      <c r="H36" s="8">
        <v>17.977</v>
      </c>
      <c r="I36" s="8">
        <v>19.437999999999999</v>
      </c>
      <c r="J36" s="8">
        <v>20.268999999999998</v>
      </c>
      <c r="K36" s="8">
        <v>19.456</v>
      </c>
      <c r="L36" s="8">
        <v>19.018999999999998</v>
      </c>
      <c r="M36" s="8">
        <v>20.974</v>
      </c>
      <c r="N36" s="8">
        <v>20.905999999999999</v>
      </c>
      <c r="O36" s="8">
        <v>20.442</v>
      </c>
      <c r="P36" s="8">
        <v>19.573</v>
      </c>
      <c r="Q36" s="8">
        <v>19.768999999999998</v>
      </c>
      <c r="R36" s="8">
        <v>20.547000000000001</v>
      </c>
    </row>
    <row r="37" spans="2:18" x14ac:dyDescent="0.2">
      <c r="B37" t="s">
        <v>178</v>
      </c>
      <c r="C37" t="s">
        <v>220</v>
      </c>
      <c r="D37" s="8">
        <v>15.065</v>
      </c>
      <c r="E37" s="8">
        <v>15.542999999999999</v>
      </c>
      <c r="F37" s="8">
        <v>15.228</v>
      </c>
      <c r="G37" s="8">
        <v>15.555999999999999</v>
      </c>
      <c r="H37" s="8">
        <v>16.678000000000001</v>
      </c>
      <c r="I37" s="8">
        <v>17.988</v>
      </c>
      <c r="J37" s="8">
        <v>18.36</v>
      </c>
      <c r="K37" s="8">
        <v>19.111999999999998</v>
      </c>
      <c r="L37" s="8">
        <v>19.248999999999999</v>
      </c>
      <c r="M37" s="8">
        <v>19.190999999999999</v>
      </c>
      <c r="N37" s="8">
        <v>19.577999999999999</v>
      </c>
      <c r="O37" s="8">
        <v>20.146999999999998</v>
      </c>
      <c r="P37" s="8">
        <v>19.927</v>
      </c>
      <c r="Q37" s="8">
        <v>20.247</v>
      </c>
      <c r="R37" s="8">
        <v>20.72</v>
      </c>
    </row>
    <row r="38" spans="2:18" x14ac:dyDescent="0.2">
      <c r="B38" t="s">
        <v>182</v>
      </c>
      <c r="C38" t="s">
        <v>220</v>
      </c>
      <c r="D38" s="8">
        <v>15.023</v>
      </c>
      <c r="E38" s="8">
        <v>15.28</v>
      </c>
      <c r="F38" s="8">
        <v>15.59</v>
      </c>
      <c r="G38" s="8">
        <v>15.875</v>
      </c>
      <c r="H38" s="8">
        <v>17.437000000000001</v>
      </c>
      <c r="I38" s="8">
        <v>18.234000000000002</v>
      </c>
      <c r="J38" s="8">
        <v>19.119</v>
      </c>
      <c r="K38" s="8">
        <v>20.309999999999999</v>
      </c>
      <c r="L38" s="8">
        <v>19.27</v>
      </c>
      <c r="M38" s="8">
        <v>19.321999999999999</v>
      </c>
      <c r="N38" s="8">
        <v>18.151</v>
      </c>
      <c r="O38" s="8">
        <v>19.123000000000001</v>
      </c>
      <c r="P38" s="8">
        <v>19.492000000000001</v>
      </c>
      <c r="Q38" s="8">
        <v>20.38</v>
      </c>
      <c r="R38" s="8">
        <v>20.914000000000001</v>
      </c>
    </row>
    <row r="39" spans="2:18" x14ac:dyDescent="0.2">
      <c r="B39" t="s">
        <v>181</v>
      </c>
      <c r="C39" t="s">
        <v>220</v>
      </c>
      <c r="D39" s="8">
        <v>13.603999999999999</v>
      </c>
      <c r="E39" s="8">
        <v>14.074</v>
      </c>
      <c r="F39" s="8">
        <v>14.589</v>
      </c>
      <c r="G39" s="8">
        <v>14.9</v>
      </c>
      <c r="H39" s="8">
        <v>16.503</v>
      </c>
      <c r="I39" s="8">
        <v>17.591999999999999</v>
      </c>
      <c r="J39" s="8">
        <v>17.52</v>
      </c>
      <c r="K39" s="8">
        <v>17.786999999999999</v>
      </c>
      <c r="L39" s="8">
        <v>17.388999999999999</v>
      </c>
      <c r="M39" s="8">
        <v>18.155000000000001</v>
      </c>
      <c r="N39" s="8">
        <v>17.800999999999998</v>
      </c>
      <c r="O39" s="8">
        <v>19.236999999999998</v>
      </c>
      <c r="P39" s="8">
        <v>20.027999999999999</v>
      </c>
      <c r="Q39" s="8">
        <v>20.56</v>
      </c>
      <c r="R39" s="8">
        <v>21.074999999999999</v>
      </c>
    </row>
    <row r="40" spans="2:18" x14ac:dyDescent="0.2">
      <c r="B40" t="s">
        <v>145</v>
      </c>
      <c r="C40" t="s">
        <v>220</v>
      </c>
      <c r="D40" s="8">
        <v>26.815000000000001</v>
      </c>
      <c r="E40" s="8">
        <v>30.712</v>
      </c>
      <c r="F40" s="8">
        <v>30.126000000000001</v>
      </c>
      <c r="G40" s="8">
        <v>30.771000000000001</v>
      </c>
      <c r="H40" s="8">
        <v>29.977</v>
      </c>
      <c r="I40" s="8">
        <v>29.25</v>
      </c>
      <c r="J40" s="8">
        <v>29.635000000000002</v>
      </c>
      <c r="K40" s="8">
        <v>30.172999999999998</v>
      </c>
      <c r="L40" s="8">
        <v>28.23</v>
      </c>
      <c r="M40" s="8">
        <v>29.864999999999998</v>
      </c>
      <c r="N40" s="8">
        <v>29.956</v>
      </c>
      <c r="O40" s="8">
        <v>27.027000000000001</v>
      </c>
      <c r="P40" s="8">
        <v>25.32</v>
      </c>
      <c r="Q40" s="8">
        <v>23.36</v>
      </c>
      <c r="R40" s="8">
        <v>24.155000000000001</v>
      </c>
    </row>
    <row r="41" spans="2:18" x14ac:dyDescent="0.2">
      <c r="B41" t="s">
        <v>171</v>
      </c>
      <c r="C41" t="s">
        <v>220</v>
      </c>
      <c r="D41" s="8">
        <v>16.792000000000002</v>
      </c>
      <c r="E41" s="8">
        <v>17.236000000000001</v>
      </c>
      <c r="F41" s="8">
        <v>17.317</v>
      </c>
      <c r="G41" s="8">
        <v>17.628</v>
      </c>
      <c r="H41" s="8">
        <v>18.715</v>
      </c>
      <c r="I41" s="8">
        <v>20.141999999999999</v>
      </c>
      <c r="J41" s="8">
        <v>20.698</v>
      </c>
      <c r="K41" s="8">
        <v>21.803000000000001</v>
      </c>
      <c r="L41" s="8">
        <v>22.111999999999998</v>
      </c>
      <c r="M41" s="8">
        <v>21.97</v>
      </c>
      <c r="N41" s="8">
        <v>22.712</v>
      </c>
      <c r="O41" s="8">
        <v>23.594999999999999</v>
      </c>
      <c r="P41" s="8">
        <v>23.422000000000001</v>
      </c>
      <c r="Q41" s="8">
        <v>23.663</v>
      </c>
      <c r="R41" s="8">
        <v>24.31</v>
      </c>
    </row>
    <row r="42" spans="2:18" x14ac:dyDescent="0.2">
      <c r="B42" t="s">
        <v>156</v>
      </c>
      <c r="C42" t="s">
        <v>220</v>
      </c>
      <c r="D42" s="8">
        <v>13.428000000000001</v>
      </c>
      <c r="E42" s="8">
        <v>14.023</v>
      </c>
      <c r="F42" s="8">
        <v>14.682</v>
      </c>
      <c r="G42" s="8">
        <v>16.53</v>
      </c>
      <c r="H42" s="8">
        <v>15.409000000000001</v>
      </c>
      <c r="I42" s="8">
        <v>15.209</v>
      </c>
      <c r="J42" s="8">
        <v>15.943</v>
      </c>
      <c r="K42" s="8">
        <v>16.338999999999999</v>
      </c>
      <c r="L42" s="8">
        <v>16.893999999999998</v>
      </c>
      <c r="M42" s="8">
        <v>16.321000000000002</v>
      </c>
      <c r="N42" s="8">
        <v>16.038</v>
      </c>
      <c r="O42" s="8">
        <v>17.202999999999999</v>
      </c>
      <c r="P42" s="8">
        <v>19.198</v>
      </c>
      <c r="Q42" s="8">
        <v>24.706</v>
      </c>
      <c r="R42" s="8">
        <v>25.372</v>
      </c>
    </row>
    <row r="43" spans="2:18" x14ac:dyDescent="0.2">
      <c r="B43" t="s">
        <v>197</v>
      </c>
      <c r="C43" t="s">
        <v>220</v>
      </c>
      <c r="D43" s="8">
        <v>14.202999999999999</v>
      </c>
      <c r="E43" s="8">
        <v>15.146000000000001</v>
      </c>
      <c r="F43" s="8">
        <v>15.487</v>
      </c>
      <c r="G43" s="8">
        <v>17.155999999999999</v>
      </c>
      <c r="H43" s="8">
        <v>17.617999999999999</v>
      </c>
      <c r="I43" s="8">
        <v>19.602</v>
      </c>
      <c r="J43" s="8">
        <v>21.907</v>
      </c>
      <c r="K43" s="8">
        <v>21.315000000000001</v>
      </c>
      <c r="L43" s="8">
        <v>24.992999999999999</v>
      </c>
      <c r="M43" s="8">
        <v>26.042000000000002</v>
      </c>
      <c r="N43" s="8">
        <v>24.623999999999999</v>
      </c>
      <c r="O43" s="8">
        <v>22.478999999999999</v>
      </c>
      <c r="P43" s="8">
        <v>25.283000000000001</v>
      </c>
      <c r="Q43" s="8">
        <v>26.085999999999999</v>
      </c>
      <c r="R43" s="8">
        <v>26.805</v>
      </c>
    </row>
    <row r="44" spans="2:18" x14ac:dyDescent="0.2">
      <c r="B44" t="s">
        <v>166</v>
      </c>
      <c r="C44" t="s">
        <v>220</v>
      </c>
      <c r="D44" s="8">
        <v>19.547000000000001</v>
      </c>
      <c r="E44" s="8">
        <v>20.998999999999999</v>
      </c>
      <c r="F44" s="8">
        <v>20.853999999999999</v>
      </c>
      <c r="G44" s="8">
        <v>21.673999999999999</v>
      </c>
      <c r="H44" s="8">
        <v>22.201000000000001</v>
      </c>
      <c r="I44" s="8">
        <v>23.7</v>
      </c>
      <c r="J44" s="8">
        <v>25.478000000000002</v>
      </c>
      <c r="K44" s="8">
        <v>26.658999999999999</v>
      </c>
      <c r="L44" s="8">
        <v>26.253</v>
      </c>
      <c r="M44" s="8">
        <v>25.765999999999998</v>
      </c>
      <c r="N44" s="8">
        <v>26.472000000000001</v>
      </c>
      <c r="O44" s="8">
        <v>26.832000000000001</v>
      </c>
      <c r="P44" s="8">
        <v>26.856999999999999</v>
      </c>
      <c r="Q44" s="8">
        <v>26.51</v>
      </c>
      <c r="R44" s="8">
        <v>27.358000000000001</v>
      </c>
    </row>
    <row r="45" spans="2:18" x14ac:dyDescent="0.2">
      <c r="B45" t="s">
        <v>167</v>
      </c>
      <c r="C45" t="s">
        <v>220</v>
      </c>
      <c r="D45" s="8">
        <v>17.321999999999999</v>
      </c>
      <c r="E45" s="8">
        <v>18.936</v>
      </c>
      <c r="F45" s="8">
        <v>18.085000000000001</v>
      </c>
      <c r="G45" s="8">
        <v>19.306000000000001</v>
      </c>
      <c r="H45" s="8">
        <v>20.219000000000001</v>
      </c>
      <c r="I45" s="8">
        <v>21.035</v>
      </c>
      <c r="J45" s="8">
        <v>22.838000000000001</v>
      </c>
      <c r="K45" s="8">
        <v>23.376999999999999</v>
      </c>
      <c r="L45" s="8">
        <v>23.734999999999999</v>
      </c>
      <c r="M45" s="8">
        <v>23.469000000000001</v>
      </c>
      <c r="N45" s="8">
        <v>24.721</v>
      </c>
      <c r="O45" s="8">
        <v>26.106000000000002</v>
      </c>
      <c r="P45" s="8">
        <v>26.105</v>
      </c>
      <c r="Q45" s="8">
        <v>26.248999999999999</v>
      </c>
      <c r="R45" s="8">
        <v>27.378</v>
      </c>
    </row>
    <row r="46" spans="2:18" x14ac:dyDescent="0.2">
      <c r="B46" t="s">
        <v>186</v>
      </c>
      <c r="C46" t="s">
        <v>220</v>
      </c>
      <c r="D46" s="8">
        <v>18.047000000000001</v>
      </c>
      <c r="E46" s="8">
        <v>18.952000000000002</v>
      </c>
      <c r="F46" s="8">
        <v>19.245999999999999</v>
      </c>
      <c r="G46" s="8">
        <v>20.442</v>
      </c>
      <c r="H46" s="8">
        <v>20.600999999999999</v>
      </c>
      <c r="I46" s="8">
        <v>21.582000000000001</v>
      </c>
      <c r="J46" s="8">
        <v>22.004000000000001</v>
      </c>
      <c r="K46" s="8">
        <v>23.164999999999999</v>
      </c>
      <c r="L46" s="8">
        <v>24.247</v>
      </c>
      <c r="M46" s="8">
        <v>24.300999999999998</v>
      </c>
      <c r="N46" s="8">
        <v>25.484999999999999</v>
      </c>
      <c r="O46" s="8">
        <v>27.341999999999999</v>
      </c>
      <c r="P46" s="8">
        <v>27.265999999999998</v>
      </c>
      <c r="Q46" s="8">
        <v>27.116</v>
      </c>
      <c r="R46" s="8">
        <v>27.712</v>
      </c>
    </row>
    <row r="47" spans="2:18" x14ac:dyDescent="0.2">
      <c r="B47" t="s">
        <v>203</v>
      </c>
      <c r="C47" t="s">
        <v>220</v>
      </c>
      <c r="D47" s="8">
        <v>21.620999999999999</v>
      </c>
      <c r="E47" s="8">
        <v>22.22</v>
      </c>
      <c r="F47" s="8">
        <v>22.774000000000001</v>
      </c>
      <c r="G47" s="8">
        <v>24.379000000000001</v>
      </c>
      <c r="H47" s="8">
        <v>23.491</v>
      </c>
      <c r="I47" s="8">
        <v>24.292999999999999</v>
      </c>
      <c r="J47" s="8">
        <v>25.341000000000001</v>
      </c>
      <c r="K47" s="8">
        <v>26.97</v>
      </c>
      <c r="L47" s="8">
        <v>26.009</v>
      </c>
      <c r="M47" s="8">
        <v>26.632999999999999</v>
      </c>
      <c r="N47" s="8">
        <v>23.824999999999999</v>
      </c>
      <c r="O47" s="8">
        <v>25.576000000000001</v>
      </c>
      <c r="P47" s="8">
        <v>26.803000000000001</v>
      </c>
      <c r="Q47" s="8">
        <v>27.143000000000001</v>
      </c>
      <c r="R47" s="8">
        <v>27.895</v>
      </c>
    </row>
    <row r="48" spans="2:18" x14ac:dyDescent="0.2">
      <c r="B48" t="s">
        <v>62</v>
      </c>
      <c r="C48" t="s">
        <v>220</v>
      </c>
      <c r="D48" s="8">
        <v>31.655999999999999</v>
      </c>
      <c r="E48" s="8">
        <v>32.15</v>
      </c>
      <c r="F48" s="8">
        <v>32.6</v>
      </c>
      <c r="G48" s="8">
        <v>36.558</v>
      </c>
      <c r="H48" s="8">
        <v>38.911000000000001</v>
      </c>
      <c r="I48" s="8">
        <v>36.762999999999998</v>
      </c>
      <c r="J48" s="8">
        <v>38.404000000000003</v>
      </c>
      <c r="K48" s="8">
        <v>33.588000000000001</v>
      </c>
      <c r="L48" s="8">
        <v>48.371000000000002</v>
      </c>
      <c r="M48" s="8">
        <v>40.984999999999999</v>
      </c>
      <c r="N48" s="8">
        <v>50.539000000000001</v>
      </c>
      <c r="O48" s="8">
        <v>33.56</v>
      </c>
      <c r="P48" s="8">
        <v>36.098999999999997</v>
      </c>
      <c r="Q48" s="8">
        <v>27.693000000000001</v>
      </c>
      <c r="R48" s="8">
        <v>28.66</v>
      </c>
    </row>
    <row r="49" spans="2:18" x14ac:dyDescent="0.2">
      <c r="B49" t="s">
        <v>112</v>
      </c>
      <c r="C49" t="s">
        <v>220</v>
      </c>
      <c r="D49" s="8">
        <v>17.869</v>
      </c>
      <c r="E49" s="8">
        <v>18.725000000000001</v>
      </c>
      <c r="F49" s="8">
        <v>18.151</v>
      </c>
      <c r="G49" s="8">
        <v>22.375</v>
      </c>
      <c r="H49" s="8">
        <v>25.667000000000002</v>
      </c>
      <c r="I49" s="8">
        <v>28.696000000000002</v>
      </c>
      <c r="J49" s="8">
        <v>27.109000000000002</v>
      </c>
      <c r="K49" s="8">
        <v>26.673999999999999</v>
      </c>
      <c r="L49" s="8">
        <v>27.280999999999999</v>
      </c>
      <c r="M49" s="8">
        <v>30.215</v>
      </c>
      <c r="N49" s="8">
        <v>33.877000000000002</v>
      </c>
      <c r="O49" s="8">
        <v>44.881</v>
      </c>
      <c r="P49" s="8">
        <v>25.925000000000001</v>
      </c>
      <c r="Q49" s="8">
        <v>29.222000000000001</v>
      </c>
      <c r="R49" s="8">
        <v>30.524000000000001</v>
      </c>
    </row>
    <row r="50" spans="2:18" x14ac:dyDescent="0.2">
      <c r="B50" t="s">
        <v>60</v>
      </c>
      <c r="C50" t="s">
        <v>220</v>
      </c>
      <c r="D50" s="8">
        <v>23.248999999999999</v>
      </c>
      <c r="E50" s="8">
        <v>28.352</v>
      </c>
      <c r="F50" s="8">
        <v>33.665999999999997</v>
      </c>
      <c r="G50" s="8">
        <v>34.090000000000003</v>
      </c>
      <c r="H50" s="8">
        <v>35.228000000000002</v>
      </c>
      <c r="I50" s="8">
        <v>38.42</v>
      </c>
      <c r="J50" s="8">
        <v>24.945</v>
      </c>
      <c r="K50" s="8">
        <v>28.137</v>
      </c>
      <c r="L50" s="8">
        <v>16.062000000000001</v>
      </c>
      <c r="M50" s="8">
        <v>20.388000000000002</v>
      </c>
      <c r="N50" s="8">
        <v>12.971</v>
      </c>
      <c r="O50" s="8">
        <v>11.37</v>
      </c>
      <c r="P50" s="8">
        <v>22.878</v>
      </c>
      <c r="Q50" s="8">
        <v>29.888999999999999</v>
      </c>
      <c r="R50" s="8">
        <v>30.751999999999999</v>
      </c>
    </row>
    <row r="51" spans="2:18" x14ac:dyDescent="0.2">
      <c r="B51" t="s">
        <v>202</v>
      </c>
      <c r="C51" t="s">
        <v>220</v>
      </c>
      <c r="D51" s="8">
        <v>22.416</v>
      </c>
      <c r="E51" s="8">
        <v>22.803000000000001</v>
      </c>
      <c r="F51" s="8">
        <v>22.904</v>
      </c>
      <c r="G51" s="8">
        <v>23.494</v>
      </c>
      <c r="H51" s="8">
        <v>23.068999999999999</v>
      </c>
      <c r="I51" s="8">
        <v>24.030999999999999</v>
      </c>
      <c r="J51" s="8">
        <v>25.442</v>
      </c>
      <c r="K51" s="8">
        <v>28.077000000000002</v>
      </c>
      <c r="L51" s="8">
        <v>27.170999999999999</v>
      </c>
      <c r="M51" s="8">
        <v>27.648</v>
      </c>
      <c r="N51" s="8">
        <v>25.920999999999999</v>
      </c>
      <c r="O51" s="8">
        <v>29.079000000000001</v>
      </c>
      <c r="P51" s="8">
        <v>31.076000000000001</v>
      </c>
      <c r="Q51" s="8">
        <v>31.692</v>
      </c>
      <c r="R51" s="8">
        <v>32.738999999999997</v>
      </c>
    </row>
    <row r="52" spans="2:18" x14ac:dyDescent="0.2">
      <c r="B52" t="s">
        <v>177</v>
      </c>
      <c r="C52" t="s">
        <v>220</v>
      </c>
      <c r="D52" s="8">
        <v>22.047999999999998</v>
      </c>
      <c r="E52" s="8">
        <v>22.866</v>
      </c>
      <c r="F52" s="8">
        <v>23.327999999999999</v>
      </c>
      <c r="G52" s="8">
        <v>24.11</v>
      </c>
      <c r="H52" s="8">
        <v>25.448</v>
      </c>
      <c r="I52" s="8">
        <v>27.398</v>
      </c>
      <c r="J52" s="8">
        <v>27.931999999999999</v>
      </c>
      <c r="K52" s="8">
        <v>29.126999999999999</v>
      </c>
      <c r="L52" s="8">
        <v>30.073</v>
      </c>
      <c r="M52" s="8">
        <v>29.73</v>
      </c>
      <c r="N52" s="8">
        <v>30.782</v>
      </c>
      <c r="O52" s="8">
        <v>31.007999999999999</v>
      </c>
      <c r="P52" s="8">
        <v>31.456</v>
      </c>
      <c r="Q52" s="8">
        <v>32.103000000000002</v>
      </c>
      <c r="R52" s="8">
        <v>33.200000000000003</v>
      </c>
    </row>
    <row r="53" spans="2:18" x14ac:dyDescent="0.2">
      <c r="B53" t="s">
        <v>129</v>
      </c>
      <c r="C53" t="s">
        <v>220</v>
      </c>
      <c r="D53" s="8">
        <v>22.611000000000001</v>
      </c>
      <c r="E53" s="8">
        <v>24.474</v>
      </c>
      <c r="F53" s="8">
        <v>24.731000000000002</v>
      </c>
      <c r="G53" s="8">
        <v>25.283000000000001</v>
      </c>
      <c r="H53" s="8">
        <v>25.294</v>
      </c>
      <c r="I53" s="8">
        <v>25.843</v>
      </c>
      <c r="J53" s="8">
        <v>28.053999999999998</v>
      </c>
      <c r="K53" s="8">
        <v>29.882000000000001</v>
      </c>
      <c r="L53" s="8">
        <v>30.140999999999998</v>
      </c>
      <c r="M53" s="8">
        <v>28.31</v>
      </c>
      <c r="N53" s="8">
        <v>28.632000000000001</v>
      </c>
      <c r="O53" s="8">
        <v>29.376000000000001</v>
      </c>
      <c r="P53" s="8">
        <v>30.558</v>
      </c>
      <c r="Q53" s="8">
        <v>31.491</v>
      </c>
      <c r="R53" s="8">
        <v>33.488</v>
      </c>
    </row>
    <row r="54" spans="2:18" x14ac:dyDescent="0.2">
      <c r="B54" t="s">
        <v>180</v>
      </c>
      <c r="C54" t="s">
        <v>220</v>
      </c>
      <c r="D54" s="8">
        <v>21.244</v>
      </c>
      <c r="E54" s="8">
        <v>21.484000000000002</v>
      </c>
      <c r="F54" s="8">
        <v>22.443000000000001</v>
      </c>
      <c r="G54" s="8">
        <v>25.442</v>
      </c>
      <c r="H54" s="8">
        <v>25.712</v>
      </c>
      <c r="I54" s="8">
        <v>27.13</v>
      </c>
      <c r="J54" s="8">
        <v>28.306000000000001</v>
      </c>
      <c r="K54" s="8">
        <v>29.28</v>
      </c>
      <c r="L54" s="8">
        <v>27.01</v>
      </c>
      <c r="M54" s="8">
        <v>27.541</v>
      </c>
      <c r="N54" s="8">
        <v>27.925000000000001</v>
      </c>
      <c r="O54" s="8">
        <v>30.814</v>
      </c>
      <c r="P54" s="8">
        <v>33.497999999999998</v>
      </c>
      <c r="Q54" s="8">
        <v>32.96</v>
      </c>
      <c r="R54" s="8">
        <v>33.594000000000001</v>
      </c>
    </row>
    <row r="55" spans="2:18" x14ac:dyDescent="0.2">
      <c r="B55" t="s">
        <v>132</v>
      </c>
      <c r="C55" t="s">
        <v>220</v>
      </c>
      <c r="D55" s="8">
        <v>33.279000000000003</v>
      </c>
      <c r="E55" s="8">
        <v>33.417999999999999</v>
      </c>
      <c r="F55" s="8">
        <v>34.755000000000003</v>
      </c>
      <c r="G55" s="8">
        <v>35.143000000000001</v>
      </c>
      <c r="H55" s="8">
        <v>35.808</v>
      </c>
      <c r="I55" s="8">
        <v>37.531999999999996</v>
      </c>
      <c r="J55" s="8">
        <v>39.572000000000003</v>
      </c>
      <c r="K55" s="8">
        <v>38.375</v>
      </c>
      <c r="L55" s="8">
        <v>35.789000000000001</v>
      </c>
      <c r="M55" s="8">
        <v>35.968000000000004</v>
      </c>
      <c r="N55" s="8">
        <v>33.506999999999998</v>
      </c>
      <c r="O55" s="8">
        <v>32.411000000000001</v>
      </c>
      <c r="P55" s="8">
        <v>31.565000000000001</v>
      </c>
      <c r="Q55" s="8">
        <v>31.995999999999999</v>
      </c>
      <c r="R55" s="8">
        <v>33.713999999999999</v>
      </c>
    </row>
    <row r="56" spans="2:18" x14ac:dyDescent="0.2">
      <c r="B56" t="s">
        <v>149</v>
      </c>
      <c r="C56" t="s">
        <v>220</v>
      </c>
      <c r="D56" s="8">
        <v>25.981000000000002</v>
      </c>
      <c r="E56" s="8">
        <v>26.163</v>
      </c>
      <c r="F56" s="8">
        <v>26.907</v>
      </c>
      <c r="G56" s="8">
        <v>29.960999999999999</v>
      </c>
      <c r="H56" s="8">
        <v>30.273</v>
      </c>
      <c r="I56" s="8">
        <v>29.306000000000001</v>
      </c>
      <c r="J56" s="8">
        <v>30.459</v>
      </c>
      <c r="K56" s="8">
        <v>31.358000000000001</v>
      </c>
      <c r="L56" s="8">
        <v>33.195999999999998</v>
      </c>
      <c r="M56" s="8">
        <v>32.384999999999998</v>
      </c>
      <c r="N56" s="8">
        <v>31.123000000000001</v>
      </c>
      <c r="O56" s="8">
        <v>33.542999999999999</v>
      </c>
      <c r="P56" s="8">
        <v>32.814999999999998</v>
      </c>
      <c r="Q56" s="8">
        <v>32.796999999999997</v>
      </c>
      <c r="R56" s="8">
        <v>34.04</v>
      </c>
    </row>
    <row r="57" spans="2:18" x14ac:dyDescent="0.2">
      <c r="B57" t="s">
        <v>114</v>
      </c>
      <c r="C57" t="s">
        <v>220</v>
      </c>
      <c r="D57" s="8">
        <v>29.251000000000001</v>
      </c>
      <c r="E57" s="8">
        <v>31.181000000000001</v>
      </c>
      <c r="F57" s="8">
        <v>30.838999999999999</v>
      </c>
      <c r="G57" s="8">
        <v>31.035</v>
      </c>
      <c r="H57" s="8">
        <v>31.803000000000001</v>
      </c>
      <c r="I57" s="8">
        <v>31.547000000000001</v>
      </c>
      <c r="J57" s="8">
        <v>32.953000000000003</v>
      </c>
      <c r="K57" s="8">
        <v>32.619</v>
      </c>
      <c r="L57" s="8">
        <v>33.588999999999999</v>
      </c>
      <c r="M57" s="8">
        <v>33.259</v>
      </c>
      <c r="N57" s="8">
        <v>33.457999999999998</v>
      </c>
      <c r="O57" s="8">
        <v>33.904000000000003</v>
      </c>
      <c r="P57" s="8">
        <v>33.823</v>
      </c>
      <c r="Q57" s="8">
        <v>33.988999999999997</v>
      </c>
      <c r="R57" s="8">
        <v>35.137</v>
      </c>
    </row>
    <row r="58" spans="2:18" x14ac:dyDescent="0.2">
      <c r="B58" t="s">
        <v>183</v>
      </c>
      <c r="C58" t="s">
        <v>220</v>
      </c>
      <c r="D58" s="8">
        <v>25.587</v>
      </c>
      <c r="E58" s="8">
        <v>25.619</v>
      </c>
      <c r="F58" s="8">
        <v>25.954000000000001</v>
      </c>
      <c r="G58" s="8">
        <v>26.574000000000002</v>
      </c>
      <c r="H58" s="8">
        <v>28.634</v>
      </c>
      <c r="I58" s="8">
        <v>30.58</v>
      </c>
      <c r="J58" s="8">
        <v>31.73</v>
      </c>
      <c r="K58" s="8">
        <v>32.406999999999996</v>
      </c>
      <c r="L58" s="8">
        <v>32.965000000000003</v>
      </c>
      <c r="M58" s="8">
        <v>33.055</v>
      </c>
      <c r="N58" s="8">
        <v>32.642000000000003</v>
      </c>
      <c r="O58" s="8">
        <v>34.475999999999999</v>
      </c>
      <c r="P58" s="8">
        <v>34.04</v>
      </c>
      <c r="Q58" s="8">
        <v>34.006999999999998</v>
      </c>
      <c r="R58" s="8">
        <v>35.665999999999997</v>
      </c>
    </row>
    <row r="59" spans="2:18" x14ac:dyDescent="0.2">
      <c r="B59" t="s">
        <v>148</v>
      </c>
      <c r="C59" t="s">
        <v>220</v>
      </c>
      <c r="D59" s="8">
        <v>27.48</v>
      </c>
      <c r="E59" s="8">
        <v>27.414000000000001</v>
      </c>
      <c r="F59" s="8">
        <v>28.439</v>
      </c>
      <c r="G59" s="8">
        <v>29.762</v>
      </c>
      <c r="H59" s="8">
        <v>30.478999999999999</v>
      </c>
      <c r="I59" s="8">
        <v>31.594000000000001</v>
      </c>
      <c r="J59" s="8">
        <v>31.981999999999999</v>
      </c>
      <c r="K59" s="8">
        <v>33.576000000000001</v>
      </c>
      <c r="L59" s="8">
        <v>32.110999999999997</v>
      </c>
      <c r="M59" s="8">
        <v>32.808</v>
      </c>
      <c r="N59" s="8">
        <v>33.505000000000003</v>
      </c>
      <c r="O59" s="8">
        <v>35.520000000000003</v>
      </c>
      <c r="P59" s="8">
        <v>36.002000000000002</v>
      </c>
      <c r="Q59" s="8">
        <v>36.732999999999997</v>
      </c>
      <c r="R59" s="8">
        <v>37.758000000000003</v>
      </c>
    </row>
    <row r="60" spans="2:18" x14ac:dyDescent="0.2">
      <c r="B60" t="s">
        <v>175</v>
      </c>
      <c r="C60" t="s">
        <v>220</v>
      </c>
      <c r="D60" s="8">
        <v>27.94</v>
      </c>
      <c r="E60" s="8">
        <v>29.664999999999999</v>
      </c>
      <c r="F60" s="8">
        <v>29.231000000000002</v>
      </c>
      <c r="G60" s="8">
        <v>29.690999999999999</v>
      </c>
      <c r="H60" s="8">
        <v>31.193999999999999</v>
      </c>
      <c r="I60" s="8">
        <v>33.686</v>
      </c>
      <c r="J60" s="8">
        <v>33.973999999999997</v>
      </c>
      <c r="K60" s="8">
        <v>35.347000000000001</v>
      </c>
      <c r="L60" s="8">
        <v>35.93</v>
      </c>
      <c r="M60" s="8">
        <v>35.567</v>
      </c>
      <c r="N60" s="8">
        <v>36.523000000000003</v>
      </c>
      <c r="O60" s="8">
        <v>37.545000000000002</v>
      </c>
      <c r="P60" s="8">
        <v>36.957000000000001</v>
      </c>
      <c r="Q60" s="8">
        <v>37.218000000000004</v>
      </c>
      <c r="R60" s="8">
        <v>37.866999999999997</v>
      </c>
    </row>
    <row r="61" spans="2:18" x14ac:dyDescent="0.2">
      <c r="B61" t="s">
        <v>173</v>
      </c>
      <c r="C61" t="s">
        <v>220</v>
      </c>
      <c r="D61" s="8">
        <v>27.405999999999999</v>
      </c>
      <c r="E61" s="8">
        <v>28.541</v>
      </c>
      <c r="F61" s="8">
        <v>28.513000000000002</v>
      </c>
      <c r="G61" s="8">
        <v>28.849</v>
      </c>
      <c r="H61" s="8">
        <v>30.56</v>
      </c>
      <c r="I61" s="8">
        <v>33.502000000000002</v>
      </c>
      <c r="J61" s="8">
        <v>33.558999999999997</v>
      </c>
      <c r="K61" s="8">
        <v>35.076999999999998</v>
      </c>
      <c r="L61" s="8">
        <v>36.460999999999999</v>
      </c>
      <c r="M61" s="8">
        <v>35.899000000000001</v>
      </c>
      <c r="N61" s="8">
        <v>36.762999999999998</v>
      </c>
      <c r="O61" s="8">
        <v>37.573999999999998</v>
      </c>
      <c r="P61" s="8">
        <v>37.683999999999997</v>
      </c>
      <c r="Q61" s="8">
        <v>37.418999999999997</v>
      </c>
      <c r="R61" s="8">
        <v>38.362000000000002</v>
      </c>
    </row>
    <row r="62" spans="2:18" x14ac:dyDescent="0.2">
      <c r="B62" t="s">
        <v>154</v>
      </c>
      <c r="C62" t="s">
        <v>220</v>
      </c>
      <c r="D62" s="8">
        <v>29.143000000000001</v>
      </c>
      <c r="E62" s="8">
        <v>29.725000000000001</v>
      </c>
      <c r="F62" s="8">
        <v>31.218</v>
      </c>
      <c r="G62" s="8">
        <v>32.444000000000003</v>
      </c>
      <c r="H62" s="8">
        <v>32.685000000000002</v>
      </c>
      <c r="I62" s="8">
        <v>33.789000000000001</v>
      </c>
      <c r="J62" s="8">
        <v>35.43</v>
      </c>
      <c r="K62" s="8">
        <v>35.128999999999998</v>
      </c>
      <c r="L62" s="8">
        <v>35.094000000000001</v>
      </c>
      <c r="M62" s="8">
        <v>33.603000000000002</v>
      </c>
      <c r="N62" s="8">
        <v>33.715000000000003</v>
      </c>
      <c r="O62" s="8">
        <v>35.103999999999999</v>
      </c>
      <c r="P62" s="8">
        <v>34.869</v>
      </c>
      <c r="Q62" s="8">
        <v>36.505000000000003</v>
      </c>
      <c r="R62" s="8">
        <v>38.713000000000001</v>
      </c>
    </row>
    <row r="63" spans="2:18" x14ac:dyDescent="0.2">
      <c r="B63" t="s">
        <v>110</v>
      </c>
      <c r="C63" t="s">
        <v>220</v>
      </c>
      <c r="D63" s="8">
        <v>23.768000000000001</v>
      </c>
      <c r="E63" s="8">
        <v>25.911999999999999</v>
      </c>
      <c r="F63" s="8">
        <v>27.814</v>
      </c>
      <c r="G63" s="8">
        <v>32.201999999999998</v>
      </c>
      <c r="H63" s="8">
        <v>36.35</v>
      </c>
      <c r="I63" s="8">
        <v>39.951000000000001</v>
      </c>
      <c r="J63" s="8">
        <v>40.009</v>
      </c>
      <c r="K63" s="8">
        <v>35.234999999999999</v>
      </c>
      <c r="L63" s="8">
        <v>40.753999999999998</v>
      </c>
      <c r="M63" s="8">
        <v>47.497999999999998</v>
      </c>
      <c r="N63" s="8">
        <v>38.295000000000002</v>
      </c>
      <c r="O63" s="8">
        <v>51.334000000000003</v>
      </c>
      <c r="P63" s="8">
        <v>33.392000000000003</v>
      </c>
      <c r="Q63" s="8">
        <v>38.216000000000001</v>
      </c>
      <c r="R63" s="8">
        <v>39.15</v>
      </c>
    </row>
    <row r="64" spans="2:18" x14ac:dyDescent="0.2">
      <c r="B64" t="s">
        <v>116</v>
      </c>
      <c r="C64" t="s">
        <v>220</v>
      </c>
      <c r="D64" s="8">
        <v>32.738999999999997</v>
      </c>
      <c r="E64" s="8">
        <v>35.753999999999998</v>
      </c>
      <c r="F64" s="8">
        <v>36.713999999999999</v>
      </c>
      <c r="G64" s="8">
        <v>36.576000000000001</v>
      </c>
      <c r="H64" s="8">
        <v>37.384999999999998</v>
      </c>
      <c r="I64" s="8">
        <v>38.978000000000002</v>
      </c>
      <c r="J64" s="8">
        <v>40.448999999999998</v>
      </c>
      <c r="K64" s="8">
        <v>37.390999999999998</v>
      </c>
      <c r="L64" s="8">
        <v>37.82</v>
      </c>
      <c r="M64" s="8">
        <v>38.728000000000002</v>
      </c>
      <c r="N64" s="8">
        <v>37.701999999999998</v>
      </c>
      <c r="O64" s="8">
        <v>37.767000000000003</v>
      </c>
      <c r="P64" s="8">
        <v>38.034999999999997</v>
      </c>
      <c r="Q64" s="8">
        <v>37.152000000000001</v>
      </c>
      <c r="R64" s="8">
        <v>39.505000000000003</v>
      </c>
    </row>
    <row r="65" spans="2:18" x14ac:dyDescent="0.2">
      <c r="B65" t="s">
        <v>188</v>
      </c>
      <c r="C65" t="s">
        <v>220</v>
      </c>
      <c r="D65" s="8">
        <v>28.838000000000001</v>
      </c>
      <c r="E65" s="8">
        <v>29.327000000000002</v>
      </c>
      <c r="F65" s="8">
        <v>29.954000000000001</v>
      </c>
      <c r="G65" s="8">
        <v>31.603000000000002</v>
      </c>
      <c r="H65" s="8">
        <v>32.671999999999997</v>
      </c>
      <c r="I65" s="8">
        <v>34.215000000000003</v>
      </c>
      <c r="J65" s="8">
        <v>34.517000000000003</v>
      </c>
      <c r="K65" s="8">
        <v>35.957999999999998</v>
      </c>
      <c r="L65" s="8">
        <v>37.048999999999999</v>
      </c>
      <c r="M65" s="8">
        <v>37.792999999999999</v>
      </c>
      <c r="N65" s="8">
        <v>36.826999999999998</v>
      </c>
      <c r="O65" s="8">
        <v>38.613</v>
      </c>
      <c r="P65" s="8">
        <v>38.68</v>
      </c>
      <c r="Q65" s="8">
        <v>38.923000000000002</v>
      </c>
      <c r="R65" s="8">
        <v>39.631</v>
      </c>
    </row>
    <row r="66" spans="2:18" x14ac:dyDescent="0.2">
      <c r="B66" t="s">
        <v>124</v>
      </c>
      <c r="C66" t="s">
        <v>220</v>
      </c>
      <c r="D66" s="8">
        <v>28.547000000000001</v>
      </c>
      <c r="E66" s="8">
        <v>29.805</v>
      </c>
      <c r="F66" s="8">
        <v>31.808</v>
      </c>
      <c r="G66" s="8">
        <v>34.167000000000002</v>
      </c>
      <c r="H66" s="8">
        <v>33.978999999999999</v>
      </c>
      <c r="I66" s="8">
        <v>35.037999999999997</v>
      </c>
      <c r="J66" s="8">
        <v>33.213000000000001</v>
      </c>
      <c r="K66" s="8">
        <v>31.324999999999999</v>
      </c>
      <c r="L66" s="8">
        <v>33.308999999999997</v>
      </c>
      <c r="M66" s="8">
        <v>34.875</v>
      </c>
      <c r="N66" s="8">
        <v>35.658999999999999</v>
      </c>
      <c r="O66" s="8">
        <v>35.764000000000003</v>
      </c>
      <c r="P66" s="8">
        <v>36.597999999999999</v>
      </c>
      <c r="Q66" s="8">
        <v>39.49</v>
      </c>
      <c r="R66" s="8">
        <v>40.506999999999998</v>
      </c>
    </row>
    <row r="67" spans="2:18" x14ac:dyDescent="0.2">
      <c r="B67" t="s">
        <v>113</v>
      </c>
      <c r="C67" t="s">
        <v>220</v>
      </c>
      <c r="D67" s="8">
        <v>30.734999999999999</v>
      </c>
      <c r="E67" s="8">
        <v>33.194000000000003</v>
      </c>
      <c r="F67" s="8">
        <v>33.615000000000002</v>
      </c>
      <c r="G67" s="8">
        <v>35.124000000000002</v>
      </c>
      <c r="H67" s="8">
        <v>35.488999999999997</v>
      </c>
      <c r="I67" s="8">
        <v>35.283999999999999</v>
      </c>
      <c r="J67" s="8">
        <v>36.35</v>
      </c>
      <c r="K67" s="8">
        <v>36.082000000000001</v>
      </c>
      <c r="L67" s="8">
        <v>37.927999999999997</v>
      </c>
      <c r="M67" s="8">
        <v>37.561</v>
      </c>
      <c r="N67" s="8">
        <v>38.459000000000003</v>
      </c>
      <c r="O67" s="8">
        <v>39.136000000000003</v>
      </c>
      <c r="P67" s="8">
        <v>38.875</v>
      </c>
      <c r="Q67" s="8">
        <v>39.337000000000003</v>
      </c>
      <c r="R67" s="8">
        <v>40.758000000000003</v>
      </c>
    </row>
    <row r="68" spans="2:18" x14ac:dyDescent="0.2">
      <c r="B68" t="s">
        <v>172</v>
      </c>
      <c r="C68" t="s">
        <v>220</v>
      </c>
      <c r="D68" s="8">
        <v>32.444000000000003</v>
      </c>
      <c r="E68" s="8">
        <v>33.545999999999999</v>
      </c>
      <c r="F68" s="8">
        <v>32.96</v>
      </c>
      <c r="G68" s="8">
        <v>33.5</v>
      </c>
      <c r="H68" s="8">
        <v>34.28</v>
      </c>
      <c r="I68" s="8">
        <v>37.145000000000003</v>
      </c>
      <c r="J68" s="8">
        <v>37.561999999999998</v>
      </c>
      <c r="K68" s="8">
        <v>39.488999999999997</v>
      </c>
      <c r="L68" s="8">
        <v>40.302</v>
      </c>
      <c r="M68" s="8">
        <v>39.396999999999998</v>
      </c>
      <c r="N68" s="8">
        <v>40.472999999999999</v>
      </c>
      <c r="O68" s="8">
        <v>41.082000000000001</v>
      </c>
      <c r="P68" s="8">
        <v>41.064</v>
      </c>
      <c r="Q68" s="8">
        <v>41.505000000000003</v>
      </c>
      <c r="R68" s="8">
        <v>42.683999999999997</v>
      </c>
    </row>
    <row r="69" spans="2:18" x14ac:dyDescent="0.2">
      <c r="B69" t="s">
        <v>157</v>
      </c>
      <c r="C69" t="s">
        <v>220</v>
      </c>
      <c r="D69" s="8">
        <v>26.285</v>
      </c>
      <c r="E69" s="8">
        <v>26.939</v>
      </c>
      <c r="F69" s="8">
        <v>29.007000000000001</v>
      </c>
      <c r="G69" s="8">
        <v>27.771999999999998</v>
      </c>
      <c r="H69" s="8">
        <v>26.966000000000001</v>
      </c>
      <c r="I69" s="8">
        <v>27.960999999999999</v>
      </c>
      <c r="J69" s="8">
        <v>20.802</v>
      </c>
      <c r="K69" s="8">
        <v>24.556000000000001</v>
      </c>
      <c r="L69" s="8">
        <v>25.791</v>
      </c>
      <c r="M69" s="8">
        <v>30.931999999999999</v>
      </c>
      <c r="N69" s="8">
        <v>33.938000000000002</v>
      </c>
      <c r="O69" s="8">
        <v>43.972999999999999</v>
      </c>
      <c r="P69" s="8">
        <v>43.784999999999997</v>
      </c>
      <c r="Q69" s="8">
        <v>42.210999999999999</v>
      </c>
      <c r="R69" s="8">
        <v>43.290999999999997</v>
      </c>
    </row>
    <row r="70" spans="2:18" x14ac:dyDescent="0.2">
      <c r="B70" t="s">
        <v>170</v>
      </c>
      <c r="C70" t="s">
        <v>220</v>
      </c>
      <c r="D70" s="8">
        <v>32.386000000000003</v>
      </c>
      <c r="E70" s="8">
        <v>33.694000000000003</v>
      </c>
      <c r="F70" s="8">
        <v>33.720999999999997</v>
      </c>
      <c r="G70" s="8">
        <v>33.789000000000001</v>
      </c>
      <c r="H70" s="8">
        <v>35.573999999999998</v>
      </c>
      <c r="I70" s="8">
        <v>37.996000000000002</v>
      </c>
      <c r="J70" s="8">
        <v>39.052</v>
      </c>
      <c r="K70" s="8">
        <v>40.65</v>
      </c>
      <c r="L70" s="8">
        <v>41.731000000000002</v>
      </c>
      <c r="M70" s="8">
        <v>41.057000000000002</v>
      </c>
      <c r="N70" s="8">
        <v>42.079000000000001</v>
      </c>
      <c r="O70" s="8">
        <v>43.057000000000002</v>
      </c>
      <c r="P70" s="8">
        <v>42.061</v>
      </c>
      <c r="Q70" s="8">
        <v>42.597000000000001</v>
      </c>
      <c r="R70" s="8">
        <v>43.796999999999997</v>
      </c>
    </row>
    <row r="71" spans="2:18" x14ac:dyDescent="0.2">
      <c r="B71" t="s">
        <v>158</v>
      </c>
      <c r="C71" t="s">
        <v>220</v>
      </c>
      <c r="D71" s="8">
        <v>31.635999999999999</v>
      </c>
      <c r="E71" s="8">
        <v>32.850999999999999</v>
      </c>
      <c r="F71" s="8">
        <v>34.965000000000003</v>
      </c>
      <c r="G71" s="8">
        <v>35.74</v>
      </c>
      <c r="H71" s="8">
        <v>35.896999999999998</v>
      </c>
      <c r="I71" s="8">
        <v>36.71</v>
      </c>
      <c r="J71" s="8">
        <v>37.505000000000003</v>
      </c>
      <c r="K71" s="8">
        <v>37.75</v>
      </c>
      <c r="L71" s="8">
        <v>39.042999999999999</v>
      </c>
      <c r="M71" s="8">
        <v>38.308999999999997</v>
      </c>
      <c r="N71" s="8">
        <v>39.232999999999997</v>
      </c>
      <c r="O71" s="8">
        <v>42.412999999999997</v>
      </c>
      <c r="P71" s="8">
        <v>42.793999999999997</v>
      </c>
      <c r="Q71" s="8">
        <v>41.960999999999999</v>
      </c>
      <c r="R71" s="8">
        <v>43.856000000000002</v>
      </c>
    </row>
    <row r="72" spans="2:18" x14ac:dyDescent="0.2">
      <c r="B72" t="s">
        <v>164</v>
      </c>
      <c r="C72" t="s">
        <v>220</v>
      </c>
      <c r="D72" s="8">
        <v>30.152999999999999</v>
      </c>
      <c r="E72" s="8">
        <v>29.812999999999999</v>
      </c>
      <c r="F72" s="8">
        <v>30.431000000000001</v>
      </c>
      <c r="G72" s="8">
        <v>32.378</v>
      </c>
      <c r="H72" s="8">
        <v>34.235999999999997</v>
      </c>
      <c r="I72" s="8">
        <v>35.380000000000003</v>
      </c>
      <c r="J72" s="8">
        <v>35.277999999999999</v>
      </c>
      <c r="K72" s="8">
        <v>36.323999999999998</v>
      </c>
      <c r="L72" s="8">
        <v>35.201999999999998</v>
      </c>
      <c r="M72" s="8">
        <v>37.671999999999997</v>
      </c>
      <c r="N72" s="8">
        <v>38.283999999999999</v>
      </c>
      <c r="O72" s="8">
        <v>40.896000000000001</v>
      </c>
      <c r="P72" s="8">
        <v>42.384</v>
      </c>
      <c r="Q72" s="8">
        <v>43.039000000000001</v>
      </c>
      <c r="R72" s="8">
        <v>43.994</v>
      </c>
    </row>
    <row r="73" spans="2:18" x14ac:dyDescent="0.2">
      <c r="B73" t="s">
        <v>70</v>
      </c>
      <c r="C73" t="s">
        <v>220</v>
      </c>
      <c r="D73" s="8">
        <v>33.470999999999997</v>
      </c>
      <c r="E73" s="8">
        <v>35.432000000000002</v>
      </c>
      <c r="F73" s="8">
        <v>36.417999999999999</v>
      </c>
      <c r="G73" s="8">
        <v>39.039000000000001</v>
      </c>
      <c r="H73" s="8">
        <v>40.421999999999997</v>
      </c>
      <c r="I73" s="8">
        <v>40.546999999999997</v>
      </c>
      <c r="J73" s="8">
        <v>40.793999999999997</v>
      </c>
      <c r="K73" s="8">
        <v>40.395000000000003</v>
      </c>
      <c r="L73" s="8">
        <v>37.664999999999999</v>
      </c>
      <c r="M73" s="8">
        <v>41.811</v>
      </c>
      <c r="N73" s="8">
        <v>45.246000000000002</v>
      </c>
      <c r="O73" s="8">
        <v>38.997999999999998</v>
      </c>
      <c r="P73" s="8">
        <v>40.811999999999998</v>
      </c>
      <c r="Q73" s="8">
        <v>42.591999999999999</v>
      </c>
      <c r="R73" s="8">
        <v>44.039000000000001</v>
      </c>
    </row>
    <row r="74" spans="2:18" x14ac:dyDescent="0.2">
      <c r="B74" t="s">
        <v>119</v>
      </c>
      <c r="C74" t="s">
        <v>220</v>
      </c>
      <c r="D74" s="8">
        <v>27.117000000000001</v>
      </c>
      <c r="E74" s="8">
        <v>26.975999999999999</v>
      </c>
      <c r="F74" s="8">
        <v>28.713000000000001</v>
      </c>
      <c r="G74" s="8">
        <v>30.231000000000002</v>
      </c>
      <c r="H74" s="8">
        <v>31.93</v>
      </c>
      <c r="I74" s="8">
        <v>33.729999999999997</v>
      </c>
      <c r="J74" s="8">
        <v>34.168999999999997</v>
      </c>
      <c r="K74" s="8">
        <v>34.152000000000001</v>
      </c>
      <c r="L74" s="8">
        <v>34.524999999999999</v>
      </c>
      <c r="M74" s="8">
        <v>36.588999999999999</v>
      </c>
      <c r="N74" s="8">
        <v>42.677</v>
      </c>
      <c r="O74" s="8">
        <v>36.674999999999997</v>
      </c>
      <c r="P74" s="8">
        <v>41.249000000000002</v>
      </c>
      <c r="Q74" s="8">
        <v>43.91</v>
      </c>
      <c r="R74" s="8">
        <v>45.554000000000002</v>
      </c>
    </row>
    <row r="75" spans="2:18" x14ac:dyDescent="0.2">
      <c r="B75" t="s">
        <v>92</v>
      </c>
      <c r="C75" t="s">
        <v>220</v>
      </c>
      <c r="D75" s="8">
        <v>29.914999999999999</v>
      </c>
      <c r="E75" s="8">
        <v>32.340000000000003</v>
      </c>
      <c r="F75" s="8">
        <v>32.880000000000003</v>
      </c>
      <c r="G75" s="8">
        <v>34.997</v>
      </c>
      <c r="H75" s="8">
        <v>34.408000000000001</v>
      </c>
      <c r="I75" s="8">
        <v>34.997</v>
      </c>
      <c r="J75" s="8">
        <v>32.659999999999997</v>
      </c>
      <c r="K75" s="8">
        <v>36.018999999999998</v>
      </c>
      <c r="L75" s="8">
        <v>35.401000000000003</v>
      </c>
      <c r="M75" s="8">
        <v>41.825000000000003</v>
      </c>
      <c r="N75" s="8">
        <v>42.225999999999999</v>
      </c>
      <c r="O75" s="8">
        <v>41.914000000000001</v>
      </c>
      <c r="P75" s="8">
        <v>41.59</v>
      </c>
      <c r="Q75" s="8">
        <v>44.011000000000003</v>
      </c>
      <c r="R75" s="8">
        <v>45.594999999999999</v>
      </c>
    </row>
    <row r="76" spans="2:18" x14ac:dyDescent="0.2">
      <c r="B76" t="s">
        <v>117</v>
      </c>
      <c r="C76" t="s">
        <v>220</v>
      </c>
      <c r="D76" s="8">
        <v>26.975000000000001</v>
      </c>
      <c r="E76" s="8">
        <v>29.83</v>
      </c>
      <c r="F76" s="8">
        <v>31.533999999999999</v>
      </c>
      <c r="G76" s="8">
        <v>31.39</v>
      </c>
      <c r="H76" s="8">
        <v>32.292999999999999</v>
      </c>
      <c r="I76" s="8">
        <v>32.709000000000003</v>
      </c>
      <c r="J76" s="8">
        <v>35.039000000000001</v>
      </c>
      <c r="K76" s="8">
        <v>34.968000000000004</v>
      </c>
      <c r="L76" s="8">
        <v>36.411999999999999</v>
      </c>
      <c r="M76" s="8">
        <v>38.427</v>
      </c>
      <c r="N76" s="8">
        <v>37.713999999999999</v>
      </c>
      <c r="O76" s="8">
        <v>40.322000000000003</v>
      </c>
      <c r="P76" s="8">
        <v>42.454999999999998</v>
      </c>
      <c r="Q76" s="8">
        <v>44.017000000000003</v>
      </c>
      <c r="R76" s="8">
        <v>45.64</v>
      </c>
    </row>
    <row r="77" spans="2:18" x14ac:dyDescent="0.2">
      <c r="B77" t="s">
        <v>126</v>
      </c>
      <c r="C77" t="s">
        <v>220</v>
      </c>
      <c r="D77" s="8">
        <v>33.433999999999997</v>
      </c>
      <c r="E77" s="8">
        <v>33.340000000000003</v>
      </c>
      <c r="F77" s="8">
        <v>34.954000000000001</v>
      </c>
      <c r="G77" s="8">
        <v>37.686999999999998</v>
      </c>
      <c r="H77" s="8">
        <v>40.61</v>
      </c>
      <c r="I77" s="8">
        <v>41.008000000000003</v>
      </c>
      <c r="J77" s="8">
        <v>39.947000000000003</v>
      </c>
      <c r="K77" s="8">
        <v>41.231999999999999</v>
      </c>
      <c r="L77" s="8">
        <v>43.505000000000003</v>
      </c>
      <c r="M77" s="8">
        <v>46.966000000000001</v>
      </c>
      <c r="N77" s="8">
        <v>45.820999999999998</v>
      </c>
      <c r="O77" s="8">
        <v>47.136000000000003</v>
      </c>
      <c r="P77" s="8">
        <v>45.171999999999997</v>
      </c>
      <c r="Q77" s="8">
        <v>44.889000000000003</v>
      </c>
      <c r="R77" s="8">
        <v>45.889000000000003</v>
      </c>
    </row>
    <row r="78" spans="2:18" x14ac:dyDescent="0.2">
      <c r="B78" t="s">
        <v>121</v>
      </c>
      <c r="C78" t="s">
        <v>220</v>
      </c>
      <c r="D78" s="8">
        <v>19.454999999999998</v>
      </c>
      <c r="E78" s="8">
        <v>21.707000000000001</v>
      </c>
      <c r="F78" s="8">
        <v>23.367000000000001</v>
      </c>
      <c r="G78" s="8">
        <v>24.783000000000001</v>
      </c>
      <c r="H78" s="8">
        <v>26.331</v>
      </c>
      <c r="I78" s="8">
        <v>26.649000000000001</v>
      </c>
      <c r="J78" s="8">
        <v>29.521000000000001</v>
      </c>
      <c r="K78" s="8">
        <v>36.521000000000001</v>
      </c>
      <c r="L78" s="8">
        <v>40.289000000000001</v>
      </c>
      <c r="M78" s="8">
        <v>41.947000000000003</v>
      </c>
      <c r="N78" s="8">
        <v>41.47</v>
      </c>
      <c r="O78" s="8">
        <v>45.073</v>
      </c>
      <c r="P78" s="8">
        <v>42.072000000000003</v>
      </c>
      <c r="Q78" s="8">
        <v>44.499000000000002</v>
      </c>
      <c r="R78" s="8">
        <v>45.96</v>
      </c>
    </row>
    <row r="79" spans="2:18" x14ac:dyDescent="0.2">
      <c r="B79" t="s">
        <v>168</v>
      </c>
      <c r="C79" t="s">
        <v>220</v>
      </c>
      <c r="D79" s="8">
        <v>33.463999999999999</v>
      </c>
      <c r="E79" s="8">
        <v>34.844000000000001</v>
      </c>
      <c r="F79" s="8">
        <v>35.451000000000001</v>
      </c>
      <c r="G79" s="8">
        <v>36.121000000000002</v>
      </c>
      <c r="H79" s="8">
        <v>38.491999999999997</v>
      </c>
      <c r="I79" s="8">
        <v>40.238</v>
      </c>
      <c r="J79" s="8">
        <v>44.186</v>
      </c>
      <c r="K79" s="8">
        <v>45.517000000000003</v>
      </c>
      <c r="L79" s="8">
        <v>41.814</v>
      </c>
      <c r="M79" s="8">
        <v>42.219000000000001</v>
      </c>
      <c r="N79" s="8">
        <v>44.311999999999998</v>
      </c>
      <c r="O79" s="8">
        <v>46.502000000000002</v>
      </c>
      <c r="P79" s="8">
        <v>46.347999999999999</v>
      </c>
      <c r="Q79" s="8">
        <v>46.566000000000003</v>
      </c>
      <c r="R79" s="8">
        <v>47.706000000000003</v>
      </c>
    </row>
    <row r="80" spans="2:18" x14ac:dyDescent="0.2">
      <c r="B80" t="s">
        <v>107</v>
      </c>
      <c r="C80" t="s">
        <v>220</v>
      </c>
      <c r="D80" s="8">
        <v>28.542999999999999</v>
      </c>
      <c r="E80" s="8">
        <v>36.433</v>
      </c>
      <c r="F80" s="8">
        <v>42.929000000000002</v>
      </c>
      <c r="G80" s="8">
        <v>42.156999999999996</v>
      </c>
      <c r="H80" s="8">
        <v>40.622</v>
      </c>
      <c r="I80" s="8">
        <v>47.731000000000002</v>
      </c>
      <c r="J80" s="8">
        <v>46.942999999999998</v>
      </c>
      <c r="K80" s="8">
        <v>48.372</v>
      </c>
      <c r="L80" s="8">
        <v>47.703000000000003</v>
      </c>
      <c r="M80" s="8">
        <v>44.390999999999998</v>
      </c>
      <c r="N80" s="8">
        <v>46.588999999999999</v>
      </c>
      <c r="O80" s="8">
        <v>43.031999999999996</v>
      </c>
      <c r="P80" s="8">
        <v>44.936999999999998</v>
      </c>
      <c r="Q80" s="8">
        <v>46.972999999999999</v>
      </c>
      <c r="R80" s="8">
        <v>48.183</v>
      </c>
    </row>
    <row r="81" spans="2:18" x14ac:dyDescent="0.2">
      <c r="B81" t="s">
        <v>128</v>
      </c>
      <c r="C81" t="s">
        <v>220</v>
      </c>
      <c r="D81" s="8">
        <v>31.635000000000002</v>
      </c>
      <c r="E81" s="8">
        <v>33.976999999999997</v>
      </c>
      <c r="F81" s="8">
        <v>33.084000000000003</v>
      </c>
      <c r="G81" s="8">
        <v>35.375999999999998</v>
      </c>
      <c r="H81" s="8">
        <v>37.853999999999999</v>
      </c>
      <c r="I81" s="8">
        <v>39.843000000000004</v>
      </c>
      <c r="J81" s="8">
        <v>40.402000000000001</v>
      </c>
      <c r="K81" s="8">
        <v>39.741</v>
      </c>
      <c r="L81" s="8">
        <v>39.710999999999999</v>
      </c>
      <c r="M81" s="8">
        <v>41.427999999999997</v>
      </c>
      <c r="N81" s="8">
        <v>41.082000000000001</v>
      </c>
      <c r="O81" s="8">
        <v>42.786000000000001</v>
      </c>
      <c r="P81" s="8">
        <v>43.399000000000001</v>
      </c>
      <c r="Q81" s="8">
        <v>46.338000000000001</v>
      </c>
      <c r="R81" s="8">
        <v>48.268999999999998</v>
      </c>
    </row>
    <row r="82" spans="2:18" x14ac:dyDescent="0.2">
      <c r="B82" t="s">
        <v>152</v>
      </c>
      <c r="C82" t="s">
        <v>220</v>
      </c>
      <c r="D82" s="8">
        <v>34.103999999999999</v>
      </c>
      <c r="E82" s="8">
        <v>34.807000000000002</v>
      </c>
      <c r="F82" s="8">
        <v>36.356000000000002</v>
      </c>
      <c r="G82" s="8">
        <v>36.593000000000004</v>
      </c>
      <c r="H82" s="8">
        <v>37.034999999999997</v>
      </c>
      <c r="I82" s="8">
        <v>38.537999999999997</v>
      </c>
      <c r="J82" s="8">
        <v>38.652999999999999</v>
      </c>
      <c r="K82" s="8">
        <v>41.109000000000002</v>
      </c>
      <c r="L82" s="8">
        <v>41.045999999999999</v>
      </c>
      <c r="M82" s="8">
        <v>44.082000000000001</v>
      </c>
      <c r="N82" s="8">
        <v>44.863</v>
      </c>
      <c r="O82" s="8">
        <v>48.414999999999999</v>
      </c>
      <c r="P82" s="8">
        <v>49.613</v>
      </c>
      <c r="Q82" s="8">
        <v>47.420999999999999</v>
      </c>
      <c r="R82" s="8">
        <v>48.706000000000003</v>
      </c>
    </row>
    <row r="83" spans="2:18" x14ac:dyDescent="0.2">
      <c r="B83" t="s">
        <v>71</v>
      </c>
      <c r="C83" t="s">
        <v>220</v>
      </c>
      <c r="D83" s="8">
        <v>30.222000000000001</v>
      </c>
      <c r="E83" s="8">
        <v>29.667999999999999</v>
      </c>
      <c r="F83" s="8">
        <v>35.430999999999997</v>
      </c>
      <c r="G83" s="8">
        <v>34.308999999999997</v>
      </c>
      <c r="H83" s="8">
        <v>37.408999999999999</v>
      </c>
      <c r="I83" s="8">
        <v>39.093000000000004</v>
      </c>
      <c r="J83" s="8">
        <v>40.783999999999999</v>
      </c>
      <c r="K83" s="8">
        <v>44.512</v>
      </c>
      <c r="L83" s="8">
        <v>42.543999999999997</v>
      </c>
      <c r="M83" s="8">
        <v>43.796999999999997</v>
      </c>
      <c r="N83" s="8">
        <v>43.441000000000003</v>
      </c>
      <c r="O83" s="8">
        <v>44.244</v>
      </c>
      <c r="P83" s="8">
        <v>44.972000000000001</v>
      </c>
      <c r="Q83" s="8">
        <v>47.07</v>
      </c>
      <c r="R83" s="8">
        <v>48.816000000000003</v>
      </c>
    </row>
    <row r="84" spans="2:18" x14ac:dyDescent="0.2">
      <c r="B84" t="s">
        <v>160</v>
      </c>
      <c r="C84" t="s">
        <v>220</v>
      </c>
      <c r="D84" s="8">
        <v>35.697000000000003</v>
      </c>
      <c r="E84" s="8">
        <v>37.508000000000003</v>
      </c>
      <c r="F84" s="8">
        <v>38.033999999999999</v>
      </c>
      <c r="G84" s="8">
        <v>39.414000000000001</v>
      </c>
      <c r="H84" s="8">
        <v>40.427</v>
      </c>
      <c r="I84" s="8">
        <v>42.258000000000003</v>
      </c>
      <c r="J84" s="8">
        <v>42.594000000000001</v>
      </c>
      <c r="K84" s="8">
        <v>42.965000000000003</v>
      </c>
      <c r="L84" s="8">
        <v>40.686999999999998</v>
      </c>
      <c r="M84" s="8">
        <v>42.055999999999997</v>
      </c>
      <c r="N84" s="8">
        <v>43.246000000000002</v>
      </c>
      <c r="O84" s="8">
        <v>45.552999999999997</v>
      </c>
      <c r="P84" s="8">
        <v>46.542999999999999</v>
      </c>
      <c r="Q84" s="8">
        <v>47.518999999999998</v>
      </c>
      <c r="R84" s="8">
        <v>49.421999999999997</v>
      </c>
    </row>
    <row r="85" spans="2:18" x14ac:dyDescent="0.2">
      <c r="B85" t="s">
        <v>68</v>
      </c>
      <c r="C85" t="s">
        <v>220</v>
      </c>
      <c r="D85" s="8">
        <v>34.182000000000002</v>
      </c>
      <c r="E85" s="8">
        <v>34.031999999999996</v>
      </c>
      <c r="F85" s="8">
        <v>35.549999999999997</v>
      </c>
      <c r="G85" s="8">
        <v>36.854999999999997</v>
      </c>
      <c r="H85" s="8">
        <v>37.380000000000003</v>
      </c>
      <c r="I85" s="8">
        <v>39.103999999999999</v>
      </c>
      <c r="J85" s="8">
        <v>39.709000000000003</v>
      </c>
      <c r="K85" s="8">
        <v>41.103000000000002</v>
      </c>
      <c r="L85" s="8">
        <v>38.122</v>
      </c>
      <c r="M85" s="8">
        <v>39.789000000000001</v>
      </c>
      <c r="N85" s="8">
        <v>45.646000000000001</v>
      </c>
      <c r="O85" s="8">
        <v>45.07</v>
      </c>
      <c r="P85" s="8">
        <v>46.402000000000001</v>
      </c>
      <c r="Q85" s="8">
        <v>48.487000000000002</v>
      </c>
      <c r="R85" s="8">
        <v>49.945999999999998</v>
      </c>
    </row>
    <row r="86" spans="2:18" x14ac:dyDescent="0.2">
      <c r="B86" t="s">
        <v>163</v>
      </c>
      <c r="C86" t="s">
        <v>220</v>
      </c>
      <c r="D86" s="8">
        <v>36.292999999999999</v>
      </c>
      <c r="E86" s="8">
        <v>36.037999999999997</v>
      </c>
      <c r="F86" s="8">
        <v>37.545999999999999</v>
      </c>
      <c r="G86" s="8">
        <v>40.479999999999997</v>
      </c>
      <c r="H86" s="8">
        <v>43.094000000000001</v>
      </c>
      <c r="I86" s="8">
        <v>44.24</v>
      </c>
      <c r="J86" s="8">
        <v>43.064999999999998</v>
      </c>
      <c r="K86" s="8">
        <v>44.12</v>
      </c>
      <c r="L86" s="8">
        <v>42.530999999999999</v>
      </c>
      <c r="M86" s="8">
        <v>45.161000000000001</v>
      </c>
      <c r="N86" s="8">
        <v>42.802</v>
      </c>
      <c r="O86" s="8">
        <v>46.292999999999999</v>
      </c>
      <c r="P86" s="8">
        <v>47.07</v>
      </c>
      <c r="Q86" s="8">
        <v>48.814999999999998</v>
      </c>
      <c r="R86" s="8">
        <v>50.002000000000002</v>
      </c>
    </row>
    <row r="87" spans="2:18" x14ac:dyDescent="0.2">
      <c r="B87" t="s">
        <v>185</v>
      </c>
      <c r="C87" t="s">
        <v>220</v>
      </c>
      <c r="D87" s="8">
        <v>34.167999999999999</v>
      </c>
      <c r="E87" s="8">
        <v>32.783000000000001</v>
      </c>
      <c r="F87" s="8">
        <v>35.237000000000002</v>
      </c>
      <c r="G87" s="8">
        <v>35.564</v>
      </c>
      <c r="H87" s="8">
        <v>38.005000000000003</v>
      </c>
      <c r="I87" s="8">
        <v>39.167999999999999</v>
      </c>
      <c r="J87" s="8">
        <v>40.628999999999998</v>
      </c>
      <c r="K87" s="8">
        <v>40.991999999999997</v>
      </c>
      <c r="L87" s="8">
        <v>42.252000000000002</v>
      </c>
      <c r="M87" s="8">
        <v>44.246000000000002</v>
      </c>
      <c r="N87" s="8">
        <v>44.131</v>
      </c>
      <c r="O87" s="8">
        <v>44.991</v>
      </c>
      <c r="P87" s="8">
        <v>46.902000000000001</v>
      </c>
      <c r="Q87" s="8">
        <v>48.78</v>
      </c>
      <c r="R87" s="8">
        <v>50.067</v>
      </c>
    </row>
    <row r="88" spans="2:18" x14ac:dyDescent="0.2">
      <c r="B88" t="s">
        <v>81</v>
      </c>
      <c r="C88" t="s">
        <v>220</v>
      </c>
      <c r="D88" s="8">
        <v>33.418999999999997</v>
      </c>
      <c r="E88" s="8">
        <v>34.308</v>
      </c>
      <c r="F88" s="8">
        <v>35.332999999999998</v>
      </c>
      <c r="G88" s="8">
        <v>35.792000000000002</v>
      </c>
      <c r="H88" s="8">
        <v>32.718000000000004</v>
      </c>
      <c r="I88" s="8">
        <v>34.338000000000001</v>
      </c>
      <c r="J88" s="8">
        <v>40.036999999999999</v>
      </c>
      <c r="K88" s="8">
        <v>41.808999999999997</v>
      </c>
      <c r="L88" s="8">
        <v>45.113999999999997</v>
      </c>
      <c r="M88" s="8">
        <v>44.805999999999997</v>
      </c>
      <c r="N88" s="8">
        <v>45.701000000000001</v>
      </c>
      <c r="O88" s="8">
        <v>46.173000000000002</v>
      </c>
      <c r="P88" s="8">
        <v>47.154000000000003</v>
      </c>
      <c r="Q88" s="8">
        <v>48.106000000000002</v>
      </c>
      <c r="R88" s="8">
        <v>50.414000000000001</v>
      </c>
    </row>
    <row r="89" spans="2:18" x14ac:dyDescent="0.2">
      <c r="B89" t="s">
        <v>127</v>
      </c>
      <c r="C89" t="s">
        <v>220</v>
      </c>
      <c r="D89" s="8">
        <v>33.273000000000003</v>
      </c>
      <c r="E89" s="8">
        <v>33.383000000000003</v>
      </c>
      <c r="F89" s="8">
        <v>35.014000000000003</v>
      </c>
      <c r="G89" s="8">
        <v>32.283000000000001</v>
      </c>
      <c r="H89" s="8">
        <v>36.307000000000002</v>
      </c>
      <c r="I89" s="8">
        <v>41.061</v>
      </c>
      <c r="J89" s="8">
        <v>36.081000000000003</v>
      </c>
      <c r="K89" s="8">
        <v>47.555</v>
      </c>
      <c r="L89" s="8">
        <v>49.798000000000002</v>
      </c>
      <c r="M89" s="8">
        <v>55</v>
      </c>
      <c r="N89" s="8">
        <v>55.655000000000001</v>
      </c>
      <c r="O89" s="8">
        <v>51.524000000000001</v>
      </c>
      <c r="P89" s="8">
        <v>50.957999999999998</v>
      </c>
      <c r="Q89" s="8">
        <v>49.03</v>
      </c>
      <c r="R89" s="8">
        <v>50.93</v>
      </c>
    </row>
    <row r="90" spans="2:18" x14ac:dyDescent="0.2">
      <c r="B90" t="s">
        <v>115</v>
      </c>
      <c r="C90" t="s">
        <v>220</v>
      </c>
      <c r="D90" s="8">
        <v>37.326000000000001</v>
      </c>
      <c r="E90" s="8">
        <v>38.32</v>
      </c>
      <c r="F90" s="8">
        <v>40.277999999999999</v>
      </c>
      <c r="G90" s="8">
        <v>43.411999999999999</v>
      </c>
      <c r="H90" s="8">
        <v>44.703000000000003</v>
      </c>
      <c r="I90" s="8">
        <v>46.161999999999999</v>
      </c>
      <c r="J90" s="8">
        <v>48.465000000000003</v>
      </c>
      <c r="K90" s="8">
        <v>55.912999999999997</v>
      </c>
      <c r="L90" s="8">
        <v>51.015000000000001</v>
      </c>
      <c r="M90" s="8">
        <v>54.819000000000003</v>
      </c>
      <c r="N90" s="8">
        <v>52.826999999999998</v>
      </c>
      <c r="O90" s="8">
        <v>52.932000000000002</v>
      </c>
      <c r="P90" s="8">
        <v>49.305999999999997</v>
      </c>
      <c r="Q90" s="8">
        <v>48.981000000000002</v>
      </c>
      <c r="R90" s="8">
        <v>51.057000000000002</v>
      </c>
    </row>
    <row r="91" spans="2:18" x14ac:dyDescent="0.2">
      <c r="B91" t="s">
        <v>73</v>
      </c>
      <c r="C91" t="s">
        <v>220</v>
      </c>
      <c r="D91" s="8">
        <v>39.411999999999999</v>
      </c>
      <c r="E91" s="8">
        <v>40.295999999999999</v>
      </c>
      <c r="F91" s="8">
        <v>41.518000000000001</v>
      </c>
      <c r="G91" s="8">
        <v>42.38</v>
      </c>
      <c r="H91" s="8">
        <v>44.445999999999998</v>
      </c>
      <c r="I91" s="8">
        <v>46.048000000000002</v>
      </c>
      <c r="J91" s="8">
        <v>47.49</v>
      </c>
      <c r="K91" s="8">
        <v>48.207999999999998</v>
      </c>
      <c r="L91" s="8">
        <v>46.128999999999998</v>
      </c>
      <c r="M91" s="8">
        <v>46.167999999999999</v>
      </c>
      <c r="N91" s="8">
        <v>45.481999999999999</v>
      </c>
      <c r="O91" s="8">
        <v>46.963000000000001</v>
      </c>
      <c r="P91" s="8">
        <v>46.488999999999997</v>
      </c>
      <c r="Q91" s="8">
        <v>49.203000000000003</v>
      </c>
      <c r="R91" s="8">
        <v>51.076999999999998</v>
      </c>
    </row>
    <row r="92" spans="2:18" x14ac:dyDescent="0.2">
      <c r="B92" t="s">
        <v>72</v>
      </c>
      <c r="C92" t="s">
        <v>220</v>
      </c>
      <c r="D92" s="8">
        <v>38.92</v>
      </c>
      <c r="E92" s="8">
        <v>39.570999999999998</v>
      </c>
      <c r="F92" s="8">
        <v>41.04</v>
      </c>
      <c r="G92" s="8">
        <v>41.49</v>
      </c>
      <c r="H92" s="8">
        <v>42.078000000000003</v>
      </c>
      <c r="I92" s="8">
        <v>42.68</v>
      </c>
      <c r="J92" s="8">
        <v>45.046999999999997</v>
      </c>
      <c r="K92" s="8">
        <v>45.816000000000003</v>
      </c>
      <c r="L92" s="8">
        <v>42.491</v>
      </c>
      <c r="M92" s="8">
        <v>42.581000000000003</v>
      </c>
      <c r="N92" s="8">
        <v>41.533999999999999</v>
      </c>
      <c r="O92" s="8">
        <v>46.006</v>
      </c>
      <c r="P92" s="8">
        <v>46.485999999999997</v>
      </c>
      <c r="Q92" s="8">
        <v>48.585999999999999</v>
      </c>
      <c r="R92" s="8">
        <v>51.110999999999997</v>
      </c>
    </row>
    <row r="93" spans="2:18" x14ac:dyDescent="0.2">
      <c r="B93" t="s">
        <v>141</v>
      </c>
      <c r="C93" t="s">
        <v>220</v>
      </c>
      <c r="D93" s="8">
        <v>35.595999999999997</v>
      </c>
      <c r="E93" s="8">
        <v>36.813000000000002</v>
      </c>
      <c r="F93" s="8">
        <v>38.085999999999999</v>
      </c>
      <c r="G93" s="8">
        <v>39.566000000000003</v>
      </c>
      <c r="H93" s="8">
        <v>40.831000000000003</v>
      </c>
      <c r="I93" s="8">
        <v>41.634999999999998</v>
      </c>
      <c r="J93" s="8">
        <v>44.42</v>
      </c>
      <c r="K93" s="8">
        <v>45.607999999999997</v>
      </c>
      <c r="L93" s="8">
        <v>45.290999999999997</v>
      </c>
      <c r="M93" s="8">
        <v>48.219000000000001</v>
      </c>
      <c r="N93" s="8">
        <v>48.072000000000003</v>
      </c>
      <c r="O93" s="8">
        <v>49.418999999999997</v>
      </c>
      <c r="P93" s="8">
        <v>48.33</v>
      </c>
      <c r="Q93" s="8">
        <v>49.57</v>
      </c>
      <c r="R93" s="8">
        <v>51.741999999999997</v>
      </c>
    </row>
    <row r="94" spans="2:18" x14ac:dyDescent="0.2">
      <c r="B94" t="s">
        <v>210</v>
      </c>
      <c r="C94" t="s">
        <v>220</v>
      </c>
      <c r="D94" s="8">
        <v>32.356000000000002</v>
      </c>
      <c r="E94" s="8">
        <v>34.143000000000001</v>
      </c>
      <c r="F94" s="8">
        <v>34.753</v>
      </c>
      <c r="G94" s="8">
        <v>35.6</v>
      </c>
      <c r="H94" s="8">
        <v>36.944000000000003</v>
      </c>
      <c r="I94" s="8">
        <v>38.177</v>
      </c>
      <c r="J94" s="8">
        <v>40.656999999999996</v>
      </c>
      <c r="K94" s="8">
        <v>43.296999999999997</v>
      </c>
      <c r="L94" s="8">
        <v>44.984000000000002</v>
      </c>
      <c r="M94" s="8">
        <v>45.935000000000002</v>
      </c>
      <c r="N94" s="8">
        <v>47.098999999999997</v>
      </c>
      <c r="O94" s="8">
        <v>49.378</v>
      </c>
      <c r="P94" s="8">
        <v>49.703000000000003</v>
      </c>
      <c r="Q94" s="8">
        <v>50.368000000000002</v>
      </c>
      <c r="R94" s="8">
        <v>51.819000000000003</v>
      </c>
    </row>
    <row r="95" spans="2:18" x14ac:dyDescent="0.2">
      <c r="B95" t="s">
        <v>120</v>
      </c>
      <c r="C95" t="s">
        <v>220</v>
      </c>
      <c r="D95" s="8">
        <v>48.094999999999999</v>
      </c>
      <c r="E95" s="8">
        <v>50.381</v>
      </c>
      <c r="F95" s="8">
        <v>54.418999999999997</v>
      </c>
      <c r="G95" s="8">
        <v>56.731999999999999</v>
      </c>
      <c r="H95" s="8">
        <v>63.725000000000001</v>
      </c>
      <c r="I95" s="8">
        <v>65.218000000000004</v>
      </c>
      <c r="J95" s="8">
        <v>49.634</v>
      </c>
      <c r="K95" s="8">
        <v>48.514000000000003</v>
      </c>
      <c r="L95" s="8">
        <v>46.689</v>
      </c>
      <c r="M95" s="8">
        <v>46.610999999999997</v>
      </c>
      <c r="N95" s="8">
        <v>48.185000000000002</v>
      </c>
      <c r="O95" s="8">
        <v>46.954000000000001</v>
      </c>
      <c r="P95" s="8">
        <v>47.530999999999999</v>
      </c>
      <c r="Q95" s="8">
        <v>51.595999999999997</v>
      </c>
      <c r="R95" s="8">
        <v>53.003</v>
      </c>
    </row>
    <row r="96" spans="2:18" x14ac:dyDescent="0.2">
      <c r="B96" t="s">
        <v>174</v>
      </c>
      <c r="C96" t="s">
        <v>220</v>
      </c>
      <c r="D96" s="8">
        <v>37.484000000000002</v>
      </c>
      <c r="E96" s="8">
        <v>39.216999999999999</v>
      </c>
      <c r="F96" s="8">
        <v>39.277999999999999</v>
      </c>
      <c r="G96" s="8">
        <v>40.070999999999998</v>
      </c>
      <c r="H96" s="8">
        <v>42.116</v>
      </c>
      <c r="I96" s="8">
        <v>45.238999999999997</v>
      </c>
      <c r="J96" s="8">
        <v>46.097999999999999</v>
      </c>
      <c r="K96" s="8">
        <v>48.564999999999998</v>
      </c>
      <c r="L96" s="8">
        <v>49.981999999999999</v>
      </c>
      <c r="M96" s="8">
        <v>49.707999999999998</v>
      </c>
      <c r="N96" s="8">
        <v>50.576000000000001</v>
      </c>
      <c r="O96" s="8">
        <v>51.655999999999999</v>
      </c>
      <c r="P96" s="8">
        <v>52.253999999999998</v>
      </c>
      <c r="Q96" s="8">
        <v>52.137999999999998</v>
      </c>
      <c r="R96" s="8">
        <v>53.137999999999998</v>
      </c>
    </row>
    <row r="97" spans="2:18" x14ac:dyDescent="0.2">
      <c r="B97" t="s">
        <v>82</v>
      </c>
      <c r="C97" t="s">
        <v>220</v>
      </c>
      <c r="D97" s="8">
        <v>33.218000000000004</v>
      </c>
      <c r="E97" s="8">
        <v>36.631999999999998</v>
      </c>
      <c r="F97" s="8">
        <v>39.048000000000002</v>
      </c>
      <c r="G97" s="8">
        <v>40.713000000000001</v>
      </c>
      <c r="H97" s="8">
        <v>41</v>
      </c>
      <c r="I97" s="8">
        <v>43.366999999999997</v>
      </c>
      <c r="J97" s="8">
        <v>44.387999999999998</v>
      </c>
      <c r="K97" s="8">
        <v>46.715000000000003</v>
      </c>
      <c r="L97" s="8">
        <v>49.075000000000003</v>
      </c>
      <c r="M97" s="8">
        <v>47.162999999999997</v>
      </c>
      <c r="N97" s="8">
        <v>48.706000000000003</v>
      </c>
      <c r="O97" s="8">
        <v>51.511000000000003</v>
      </c>
      <c r="P97" s="8">
        <v>50.927</v>
      </c>
      <c r="Q97" s="8">
        <v>52.302999999999997</v>
      </c>
      <c r="R97" s="8">
        <v>53.807000000000002</v>
      </c>
    </row>
    <row r="98" spans="2:18" x14ac:dyDescent="0.2">
      <c r="B98" t="s">
        <v>118</v>
      </c>
      <c r="C98" t="s">
        <v>220</v>
      </c>
      <c r="D98" s="8">
        <v>32.588000000000001</v>
      </c>
      <c r="E98" s="8">
        <v>33.411000000000001</v>
      </c>
      <c r="F98" s="8">
        <v>36.478000000000002</v>
      </c>
      <c r="G98" s="8">
        <v>40.991</v>
      </c>
      <c r="H98" s="8">
        <v>44.220999999999997</v>
      </c>
      <c r="I98" s="8">
        <v>43.893999999999998</v>
      </c>
      <c r="J98" s="8">
        <v>43.417999999999999</v>
      </c>
      <c r="K98" s="8">
        <v>44.497999999999998</v>
      </c>
      <c r="L98" s="8">
        <v>44.064</v>
      </c>
      <c r="M98" s="8">
        <v>46.625</v>
      </c>
      <c r="N98" s="8">
        <v>46.036999999999999</v>
      </c>
      <c r="O98" s="8">
        <v>48.844999999999999</v>
      </c>
      <c r="P98" s="8">
        <v>49.92</v>
      </c>
      <c r="Q98" s="8">
        <v>52.113</v>
      </c>
      <c r="R98" s="8">
        <v>53.914000000000001</v>
      </c>
    </row>
    <row r="99" spans="2:18" x14ac:dyDescent="0.2">
      <c r="B99" t="s">
        <v>74</v>
      </c>
      <c r="C99" t="s">
        <v>220</v>
      </c>
      <c r="D99" s="8">
        <v>40.93</v>
      </c>
      <c r="E99" s="8">
        <v>42.529000000000003</v>
      </c>
      <c r="F99" s="8">
        <v>45.088999999999999</v>
      </c>
      <c r="G99" s="8">
        <v>45.545000000000002</v>
      </c>
      <c r="H99" s="8">
        <v>48.146000000000001</v>
      </c>
      <c r="I99" s="8">
        <v>48.524000000000001</v>
      </c>
      <c r="J99" s="8">
        <v>50.008000000000003</v>
      </c>
      <c r="K99" s="8">
        <v>52.378999999999998</v>
      </c>
      <c r="L99" s="8">
        <v>49.444000000000003</v>
      </c>
      <c r="M99" s="8">
        <v>49.47</v>
      </c>
      <c r="N99" s="8">
        <v>49.148000000000003</v>
      </c>
      <c r="O99" s="8">
        <v>50.02</v>
      </c>
      <c r="P99" s="8">
        <v>49.915999999999997</v>
      </c>
      <c r="Q99" s="8">
        <v>52.923000000000002</v>
      </c>
      <c r="R99" s="8">
        <v>54.124000000000002</v>
      </c>
    </row>
    <row r="100" spans="2:18" x14ac:dyDescent="0.2">
      <c r="B100" t="s">
        <v>87</v>
      </c>
      <c r="C100" t="s">
        <v>220</v>
      </c>
      <c r="D100" s="8">
        <v>34.173999999999999</v>
      </c>
      <c r="E100" s="8">
        <v>35.222999999999999</v>
      </c>
      <c r="F100" s="8">
        <v>36.101999999999997</v>
      </c>
      <c r="G100" s="8">
        <v>37.393000000000001</v>
      </c>
      <c r="H100" s="8">
        <v>38.182000000000002</v>
      </c>
      <c r="I100" s="8">
        <v>39.917000000000002</v>
      </c>
      <c r="J100" s="8">
        <v>41.872999999999998</v>
      </c>
      <c r="K100" s="8">
        <v>43.7</v>
      </c>
      <c r="L100" s="8">
        <v>45.677999999999997</v>
      </c>
      <c r="M100" s="8">
        <v>47.186</v>
      </c>
      <c r="N100" s="8">
        <v>48.23</v>
      </c>
      <c r="O100" s="8">
        <v>54.871000000000002</v>
      </c>
      <c r="P100" s="8">
        <v>54.139000000000003</v>
      </c>
      <c r="Q100" s="8">
        <v>52.607999999999997</v>
      </c>
      <c r="R100" s="8">
        <v>54.347000000000001</v>
      </c>
    </row>
    <row r="101" spans="2:18" x14ac:dyDescent="0.2">
      <c r="B101" t="s">
        <v>103</v>
      </c>
      <c r="C101" t="s">
        <v>220</v>
      </c>
      <c r="D101" s="8">
        <v>29.808</v>
      </c>
      <c r="E101" s="8">
        <v>32.118000000000002</v>
      </c>
      <c r="F101" s="8">
        <v>33.857999999999997</v>
      </c>
      <c r="G101" s="8">
        <v>38.090000000000003</v>
      </c>
      <c r="H101" s="8">
        <v>38.387999999999998</v>
      </c>
      <c r="I101" s="8">
        <v>40.07</v>
      </c>
      <c r="J101" s="8">
        <v>41.505000000000003</v>
      </c>
      <c r="K101" s="8">
        <v>40.917000000000002</v>
      </c>
      <c r="L101" s="8">
        <v>40.984999999999999</v>
      </c>
      <c r="M101" s="8">
        <v>44.826000000000001</v>
      </c>
      <c r="N101" s="8">
        <v>45.863999999999997</v>
      </c>
      <c r="O101" s="8">
        <v>52.963999999999999</v>
      </c>
      <c r="P101" s="8">
        <v>51.436999999999998</v>
      </c>
      <c r="Q101" s="8">
        <v>51.74</v>
      </c>
      <c r="R101" s="8">
        <v>54.442</v>
      </c>
    </row>
    <row r="102" spans="2:18" x14ac:dyDescent="0.2">
      <c r="B102" t="s">
        <v>85</v>
      </c>
      <c r="C102" t="s">
        <v>220</v>
      </c>
      <c r="D102" s="8">
        <v>36.664000000000001</v>
      </c>
      <c r="E102" s="8">
        <v>37.351999999999997</v>
      </c>
      <c r="F102" s="8">
        <v>39.055</v>
      </c>
      <c r="G102" s="8">
        <v>40.665999999999997</v>
      </c>
      <c r="H102" s="8">
        <v>40.143000000000001</v>
      </c>
      <c r="I102" s="8">
        <v>40.695</v>
      </c>
      <c r="J102" s="8">
        <v>43.750999999999998</v>
      </c>
      <c r="K102" s="8">
        <v>45.462000000000003</v>
      </c>
      <c r="L102" s="8">
        <v>47.069000000000003</v>
      </c>
      <c r="M102" s="8">
        <v>48.314</v>
      </c>
      <c r="N102" s="8">
        <v>49.652000000000001</v>
      </c>
      <c r="O102" s="8">
        <v>51.082999999999998</v>
      </c>
      <c r="P102" s="8">
        <v>50.719000000000001</v>
      </c>
      <c r="Q102" s="8">
        <v>52.143000000000001</v>
      </c>
      <c r="R102" s="8">
        <v>54.606999999999999</v>
      </c>
    </row>
    <row r="103" spans="2:18" x14ac:dyDescent="0.2">
      <c r="B103" t="s">
        <v>66</v>
      </c>
      <c r="C103" t="s">
        <v>220</v>
      </c>
      <c r="D103" s="8">
        <v>32.11</v>
      </c>
      <c r="E103" s="8">
        <v>36.322000000000003</v>
      </c>
      <c r="F103" s="8">
        <v>38.9</v>
      </c>
      <c r="G103" s="8">
        <v>43.424999999999997</v>
      </c>
      <c r="H103" s="8">
        <v>42.768999999999998</v>
      </c>
      <c r="I103" s="8">
        <v>35.478999999999999</v>
      </c>
      <c r="J103" s="8">
        <v>37.241</v>
      </c>
      <c r="K103" s="8">
        <v>46.628999999999998</v>
      </c>
      <c r="L103" s="8">
        <v>48.418999999999997</v>
      </c>
      <c r="M103" s="8">
        <v>48.825000000000003</v>
      </c>
      <c r="N103" s="8">
        <v>48.923999999999999</v>
      </c>
      <c r="O103" s="8">
        <v>48.988999999999997</v>
      </c>
      <c r="P103" s="8">
        <v>51.783999999999999</v>
      </c>
      <c r="Q103" s="8">
        <v>53.686</v>
      </c>
      <c r="R103" s="8">
        <v>54.662999999999997</v>
      </c>
    </row>
    <row r="104" spans="2:18" x14ac:dyDescent="0.2">
      <c r="B104" t="s">
        <v>88</v>
      </c>
      <c r="C104" t="s">
        <v>220</v>
      </c>
      <c r="D104" s="8">
        <v>40.579000000000001</v>
      </c>
      <c r="E104" s="8">
        <v>43.030999999999999</v>
      </c>
      <c r="F104" s="8">
        <v>45.697000000000003</v>
      </c>
      <c r="G104" s="8">
        <v>46.927999999999997</v>
      </c>
      <c r="H104" s="8">
        <v>48.543999999999997</v>
      </c>
      <c r="I104" s="8">
        <v>48.843000000000004</v>
      </c>
      <c r="J104" s="8">
        <v>49.865000000000002</v>
      </c>
      <c r="K104" s="8">
        <v>51.436999999999998</v>
      </c>
      <c r="L104" s="8">
        <v>46.337000000000003</v>
      </c>
      <c r="M104" s="8">
        <v>46.118000000000002</v>
      </c>
      <c r="N104" s="8">
        <v>47.914000000000001</v>
      </c>
      <c r="O104" s="8">
        <v>52.878999999999998</v>
      </c>
      <c r="P104" s="8">
        <v>52.765999999999998</v>
      </c>
      <c r="Q104" s="8">
        <v>54.655999999999999</v>
      </c>
      <c r="R104" s="8">
        <v>56.023000000000003</v>
      </c>
    </row>
    <row r="105" spans="2:18" x14ac:dyDescent="0.2">
      <c r="B105" t="s">
        <v>86</v>
      </c>
      <c r="C105" t="s">
        <v>220</v>
      </c>
      <c r="D105" s="8">
        <v>38.317</v>
      </c>
      <c r="E105" s="8">
        <v>38.606000000000002</v>
      </c>
      <c r="F105" s="8">
        <v>40.168999999999997</v>
      </c>
      <c r="G105" s="8">
        <v>42.393999999999998</v>
      </c>
      <c r="H105" s="8">
        <v>43.392000000000003</v>
      </c>
      <c r="I105" s="8">
        <v>43.76</v>
      </c>
      <c r="J105" s="8">
        <v>46.012</v>
      </c>
      <c r="K105" s="8">
        <v>48.87</v>
      </c>
      <c r="L105" s="8">
        <v>50.13</v>
      </c>
      <c r="M105" s="8">
        <v>49.701999999999998</v>
      </c>
      <c r="N105" s="8">
        <v>51.06</v>
      </c>
      <c r="O105" s="8">
        <v>53.133000000000003</v>
      </c>
      <c r="P105" s="8">
        <v>52.661000000000001</v>
      </c>
      <c r="Q105" s="8">
        <v>54.856000000000002</v>
      </c>
      <c r="R105" s="8">
        <v>56.164000000000001</v>
      </c>
    </row>
    <row r="106" spans="2:18" x14ac:dyDescent="0.2">
      <c r="B106" t="s">
        <v>84</v>
      </c>
      <c r="C106" t="s">
        <v>220</v>
      </c>
      <c r="D106" s="8">
        <v>32.621000000000002</v>
      </c>
      <c r="E106" s="8">
        <v>33.423000000000002</v>
      </c>
      <c r="F106" s="8">
        <v>34.850999999999999</v>
      </c>
      <c r="G106" s="8">
        <v>36.219000000000001</v>
      </c>
      <c r="H106" s="8">
        <v>33.543999999999997</v>
      </c>
      <c r="I106" s="8">
        <v>34.595999999999997</v>
      </c>
      <c r="J106" s="8">
        <v>40.475000000000001</v>
      </c>
      <c r="K106" s="8">
        <v>41.463000000000001</v>
      </c>
      <c r="L106" s="8">
        <v>48.231000000000002</v>
      </c>
      <c r="M106" s="8">
        <v>49.790999999999997</v>
      </c>
      <c r="N106" s="8">
        <v>50.710999999999999</v>
      </c>
      <c r="O106" s="8">
        <v>53.658999999999999</v>
      </c>
      <c r="P106" s="8">
        <v>52.655000000000001</v>
      </c>
      <c r="Q106" s="8">
        <v>53.738</v>
      </c>
      <c r="R106" s="8">
        <v>56.667999999999999</v>
      </c>
    </row>
    <row r="107" spans="2:18" x14ac:dyDescent="0.2">
      <c r="B107" t="s">
        <v>89</v>
      </c>
      <c r="C107" t="s">
        <v>220</v>
      </c>
      <c r="D107" s="8">
        <v>40.26</v>
      </c>
      <c r="E107" s="8">
        <v>41.051000000000002</v>
      </c>
      <c r="F107" s="8">
        <v>43.527000000000001</v>
      </c>
      <c r="G107" s="8">
        <v>46.24</v>
      </c>
      <c r="H107" s="8">
        <v>46.466000000000001</v>
      </c>
      <c r="I107" s="8">
        <v>45</v>
      </c>
      <c r="J107" s="8">
        <v>44.070999999999998</v>
      </c>
      <c r="K107" s="8">
        <v>48.063000000000002</v>
      </c>
      <c r="L107" s="8">
        <v>45.256999999999998</v>
      </c>
      <c r="M107" s="8">
        <v>47.651000000000003</v>
      </c>
      <c r="N107" s="8">
        <v>49.81</v>
      </c>
      <c r="O107" s="8">
        <v>53.356000000000002</v>
      </c>
      <c r="P107" s="8">
        <v>53.621000000000002</v>
      </c>
      <c r="Q107" s="8">
        <v>55.356999999999999</v>
      </c>
      <c r="R107" s="8">
        <v>56.831000000000003</v>
      </c>
    </row>
    <row r="108" spans="2:18" x14ac:dyDescent="0.2">
      <c r="B108" t="s">
        <v>99</v>
      </c>
      <c r="C108" t="s">
        <v>220</v>
      </c>
      <c r="D108" s="8">
        <v>31.864999999999998</v>
      </c>
      <c r="E108" s="8">
        <v>34.908999999999999</v>
      </c>
      <c r="F108" s="8">
        <v>39.027000000000001</v>
      </c>
      <c r="G108" s="8">
        <v>48.981000000000002</v>
      </c>
      <c r="H108" s="8">
        <v>44.768000000000001</v>
      </c>
      <c r="I108" s="8">
        <v>42.485999999999997</v>
      </c>
      <c r="J108" s="8">
        <v>41.777000000000001</v>
      </c>
      <c r="K108" s="8">
        <v>41.18</v>
      </c>
      <c r="L108" s="8">
        <v>46.322000000000003</v>
      </c>
      <c r="M108" s="8">
        <v>43.030999999999999</v>
      </c>
      <c r="N108" s="8">
        <v>46.551000000000002</v>
      </c>
      <c r="O108" s="8">
        <v>51.091000000000001</v>
      </c>
      <c r="P108" s="8">
        <v>51.100999999999999</v>
      </c>
      <c r="Q108" s="8">
        <v>54.500999999999998</v>
      </c>
      <c r="R108" s="8">
        <v>56.951000000000001</v>
      </c>
    </row>
    <row r="109" spans="2:18" x14ac:dyDescent="0.2">
      <c r="B109" t="s">
        <v>94</v>
      </c>
      <c r="C109" t="s">
        <v>220</v>
      </c>
      <c r="D109" s="8">
        <v>33.469000000000001</v>
      </c>
      <c r="E109" s="8">
        <v>33.484999999999999</v>
      </c>
      <c r="F109" s="8">
        <v>35.613999999999997</v>
      </c>
      <c r="G109" s="8">
        <v>36.744</v>
      </c>
      <c r="H109" s="8">
        <v>36.979999999999997</v>
      </c>
      <c r="I109" s="8">
        <v>38.372</v>
      </c>
      <c r="J109" s="8">
        <v>43.683999999999997</v>
      </c>
      <c r="K109" s="8">
        <v>54.305999999999997</v>
      </c>
      <c r="L109" s="8">
        <v>58.052999999999997</v>
      </c>
      <c r="M109" s="8">
        <v>58.238999999999997</v>
      </c>
      <c r="N109" s="8">
        <v>59.875999999999998</v>
      </c>
      <c r="O109" s="8">
        <v>54.347000000000001</v>
      </c>
      <c r="P109" s="8">
        <v>52.732999999999997</v>
      </c>
      <c r="Q109" s="8">
        <v>56</v>
      </c>
      <c r="R109" s="8">
        <v>57.036000000000001</v>
      </c>
    </row>
    <row r="110" spans="2:18" x14ac:dyDescent="0.2">
      <c r="B110" t="s">
        <v>108</v>
      </c>
      <c r="C110" t="s">
        <v>220</v>
      </c>
      <c r="D110" s="8">
        <v>37.975999999999999</v>
      </c>
      <c r="E110" s="8">
        <v>42.154000000000003</v>
      </c>
      <c r="F110" s="8">
        <v>44.991999999999997</v>
      </c>
      <c r="G110" s="8">
        <v>44.765999999999998</v>
      </c>
      <c r="H110" s="8">
        <v>45.5</v>
      </c>
      <c r="I110" s="8">
        <v>52.317999999999998</v>
      </c>
      <c r="J110" s="8">
        <v>48.835000000000001</v>
      </c>
      <c r="K110" s="8">
        <v>46.970999999999997</v>
      </c>
      <c r="L110" s="8">
        <v>45.619</v>
      </c>
      <c r="M110" s="8">
        <v>47.904000000000003</v>
      </c>
      <c r="N110" s="8">
        <v>48.905999999999999</v>
      </c>
      <c r="O110" s="8">
        <v>50.110999999999997</v>
      </c>
      <c r="P110" s="8">
        <v>52.634999999999998</v>
      </c>
      <c r="Q110" s="8">
        <v>56.378</v>
      </c>
      <c r="R110" s="8">
        <v>57.661999999999999</v>
      </c>
    </row>
    <row r="111" spans="2:18" x14ac:dyDescent="0.2">
      <c r="B111" t="s">
        <v>190</v>
      </c>
      <c r="C111" t="s">
        <v>220</v>
      </c>
      <c r="D111" s="8">
        <v>35.49</v>
      </c>
      <c r="E111" s="8">
        <v>38.128</v>
      </c>
      <c r="F111" s="8">
        <v>40.61</v>
      </c>
      <c r="G111" s="8">
        <v>43.567999999999998</v>
      </c>
      <c r="H111" s="8">
        <v>44.774000000000001</v>
      </c>
      <c r="I111" s="8">
        <v>46.831000000000003</v>
      </c>
      <c r="J111" s="8">
        <v>47.9</v>
      </c>
      <c r="K111" s="8">
        <v>49.17</v>
      </c>
      <c r="L111" s="8">
        <v>51.408000000000001</v>
      </c>
      <c r="M111" s="8">
        <v>52.075000000000003</v>
      </c>
      <c r="N111" s="8">
        <v>52.585000000000001</v>
      </c>
      <c r="O111" s="8">
        <v>54.372</v>
      </c>
      <c r="P111" s="8">
        <v>55.085000000000001</v>
      </c>
      <c r="Q111" s="8">
        <v>56.201999999999998</v>
      </c>
      <c r="R111" s="8">
        <v>58.040999999999997</v>
      </c>
    </row>
    <row r="112" spans="2:18" x14ac:dyDescent="0.2">
      <c r="B112" t="s">
        <v>143</v>
      </c>
      <c r="C112" t="s">
        <v>220</v>
      </c>
      <c r="D112" s="8">
        <v>38.79</v>
      </c>
      <c r="E112" s="8">
        <v>40.368000000000002</v>
      </c>
      <c r="F112" s="8">
        <v>41.261000000000003</v>
      </c>
      <c r="G112" s="8">
        <v>43.679000000000002</v>
      </c>
      <c r="H112" s="8">
        <v>45.72</v>
      </c>
      <c r="I112" s="8">
        <v>48.277999999999999</v>
      </c>
      <c r="J112" s="8">
        <v>50.151000000000003</v>
      </c>
      <c r="K112" s="8">
        <v>51.58</v>
      </c>
      <c r="L112" s="8">
        <v>50.779000000000003</v>
      </c>
      <c r="M112" s="8">
        <v>51.508000000000003</v>
      </c>
      <c r="N112" s="8">
        <v>52.387</v>
      </c>
      <c r="O112" s="8">
        <v>54.52</v>
      </c>
      <c r="P112" s="8">
        <v>54.84</v>
      </c>
      <c r="Q112" s="8">
        <v>56.725999999999999</v>
      </c>
      <c r="R112" s="8">
        <v>58.465000000000003</v>
      </c>
    </row>
    <row r="113" spans="2:18" x14ac:dyDescent="0.2">
      <c r="B113" t="s">
        <v>69</v>
      </c>
      <c r="C113" t="s">
        <v>220</v>
      </c>
      <c r="D113" s="8">
        <v>35.343000000000004</v>
      </c>
      <c r="E113" s="8">
        <v>39.389000000000003</v>
      </c>
      <c r="F113" s="8">
        <v>40.14</v>
      </c>
      <c r="G113" s="8">
        <v>44.399000000000001</v>
      </c>
      <c r="H113" s="8">
        <v>48.085999999999999</v>
      </c>
      <c r="I113" s="8">
        <v>48.673000000000002</v>
      </c>
      <c r="J113" s="8">
        <v>49.874000000000002</v>
      </c>
      <c r="K113" s="8">
        <v>50.747999999999998</v>
      </c>
      <c r="L113" s="8">
        <v>49.7</v>
      </c>
      <c r="M113" s="8">
        <v>51.786000000000001</v>
      </c>
      <c r="N113" s="8">
        <v>55.301000000000002</v>
      </c>
      <c r="O113" s="8">
        <v>54.055999999999997</v>
      </c>
      <c r="P113" s="8">
        <v>55.338999999999999</v>
      </c>
      <c r="Q113" s="8">
        <v>57.427</v>
      </c>
      <c r="R113" s="8">
        <v>58.503</v>
      </c>
    </row>
    <row r="114" spans="2:18" x14ac:dyDescent="0.2">
      <c r="B114" t="s">
        <v>109</v>
      </c>
      <c r="C114" t="s">
        <v>220</v>
      </c>
      <c r="D114" s="8">
        <v>53.616</v>
      </c>
      <c r="E114" s="8">
        <v>54.503999999999998</v>
      </c>
      <c r="F114" s="8">
        <v>62.716999999999999</v>
      </c>
      <c r="G114" s="8">
        <v>64.387</v>
      </c>
      <c r="H114" s="8">
        <v>65.355999999999995</v>
      </c>
      <c r="I114" s="8">
        <v>67.616</v>
      </c>
      <c r="J114" s="8">
        <v>70.786000000000001</v>
      </c>
      <c r="K114" s="8">
        <v>67.858999999999995</v>
      </c>
      <c r="L114" s="8">
        <v>70.432000000000002</v>
      </c>
      <c r="M114" s="8">
        <v>78.363</v>
      </c>
      <c r="N114" s="8">
        <v>73.775000000000006</v>
      </c>
      <c r="O114" s="8">
        <v>79.75</v>
      </c>
      <c r="P114" s="8">
        <v>59.112000000000002</v>
      </c>
      <c r="Q114" s="8">
        <v>57.959000000000003</v>
      </c>
      <c r="R114" s="8">
        <v>60.011000000000003</v>
      </c>
    </row>
    <row r="115" spans="2:18" x14ac:dyDescent="0.2">
      <c r="B115" t="s">
        <v>80</v>
      </c>
      <c r="C115" t="s">
        <v>220</v>
      </c>
      <c r="D115" s="8">
        <v>37.593000000000004</v>
      </c>
      <c r="E115" s="8">
        <v>40.436999999999998</v>
      </c>
      <c r="F115" s="8">
        <v>42.015000000000001</v>
      </c>
      <c r="G115" s="8">
        <v>43.798000000000002</v>
      </c>
      <c r="H115" s="8">
        <v>44.968000000000004</v>
      </c>
      <c r="I115" s="8">
        <v>45.527000000000001</v>
      </c>
      <c r="J115" s="8">
        <v>46.890999999999998</v>
      </c>
      <c r="K115" s="8">
        <v>48.3</v>
      </c>
      <c r="L115" s="8">
        <v>52.738999999999997</v>
      </c>
      <c r="M115" s="8">
        <v>50.805999999999997</v>
      </c>
      <c r="N115" s="8">
        <v>53.16</v>
      </c>
      <c r="O115" s="8">
        <v>56.673000000000002</v>
      </c>
      <c r="P115" s="8">
        <v>56.802</v>
      </c>
      <c r="Q115" s="8">
        <v>58.292999999999999</v>
      </c>
      <c r="R115" s="8">
        <v>60.136000000000003</v>
      </c>
    </row>
    <row r="116" spans="2:18" x14ac:dyDescent="0.2">
      <c r="B116" t="s">
        <v>187</v>
      </c>
      <c r="C116" t="s">
        <v>220</v>
      </c>
      <c r="D116" s="8">
        <v>47.389000000000003</v>
      </c>
      <c r="E116" s="8">
        <v>47.634</v>
      </c>
      <c r="F116" s="8">
        <v>48.356000000000002</v>
      </c>
      <c r="G116" s="8">
        <v>50.866999999999997</v>
      </c>
      <c r="H116" s="8">
        <v>52.018999999999998</v>
      </c>
      <c r="I116" s="8">
        <v>54.66</v>
      </c>
      <c r="J116" s="8">
        <v>55.506999999999998</v>
      </c>
      <c r="K116" s="8">
        <v>57.531999999999996</v>
      </c>
      <c r="L116" s="8">
        <v>58.826000000000001</v>
      </c>
      <c r="M116" s="8">
        <v>59.966000000000001</v>
      </c>
      <c r="N116" s="8">
        <v>59.030999999999999</v>
      </c>
      <c r="O116" s="8">
        <v>60.976999999999997</v>
      </c>
      <c r="P116" s="8">
        <v>59.912999999999997</v>
      </c>
      <c r="Q116" s="8">
        <v>60.600999999999999</v>
      </c>
      <c r="R116" s="8">
        <v>61.728000000000002</v>
      </c>
    </row>
    <row r="117" spans="2:18" x14ac:dyDescent="0.2">
      <c r="B117" t="s">
        <v>90</v>
      </c>
      <c r="C117" t="s">
        <v>220</v>
      </c>
      <c r="D117" s="8">
        <v>41.101999999999997</v>
      </c>
      <c r="E117" s="8">
        <v>44.982999999999997</v>
      </c>
      <c r="F117" s="8">
        <v>46.948999999999998</v>
      </c>
      <c r="G117" s="8">
        <v>50.048999999999999</v>
      </c>
      <c r="H117" s="8">
        <v>51.180999999999997</v>
      </c>
      <c r="I117" s="8">
        <v>50.942999999999998</v>
      </c>
      <c r="J117" s="8">
        <v>52.093000000000004</v>
      </c>
      <c r="K117" s="8">
        <v>57.920999999999999</v>
      </c>
      <c r="L117" s="8">
        <v>58.171999999999997</v>
      </c>
      <c r="M117" s="8">
        <v>67.67</v>
      </c>
      <c r="N117" s="8">
        <v>65.043000000000006</v>
      </c>
      <c r="O117" s="8">
        <v>60.334000000000003</v>
      </c>
      <c r="P117" s="8">
        <v>58.999000000000002</v>
      </c>
      <c r="Q117" s="8">
        <v>59.835000000000001</v>
      </c>
      <c r="R117" s="8">
        <v>62.012</v>
      </c>
    </row>
    <row r="118" spans="2:18" x14ac:dyDescent="0.2">
      <c r="B118" t="s">
        <v>169</v>
      </c>
      <c r="C118" t="s">
        <v>220</v>
      </c>
      <c r="D118" s="8">
        <v>46.000999999999998</v>
      </c>
      <c r="E118" s="8">
        <v>49.94</v>
      </c>
      <c r="F118" s="8">
        <v>47.548000000000002</v>
      </c>
      <c r="G118" s="8">
        <v>49.390999999999998</v>
      </c>
      <c r="H118" s="8">
        <v>49.557000000000002</v>
      </c>
      <c r="I118" s="8">
        <v>51.567</v>
      </c>
      <c r="J118" s="8">
        <v>54.569000000000003</v>
      </c>
      <c r="K118" s="8">
        <v>53.82</v>
      </c>
      <c r="L118" s="8">
        <v>52.499000000000002</v>
      </c>
      <c r="M118" s="8">
        <v>52.51</v>
      </c>
      <c r="N118" s="8">
        <v>54.564</v>
      </c>
      <c r="O118" s="8">
        <v>55.866999999999997</v>
      </c>
      <c r="P118" s="8">
        <v>55.478000000000002</v>
      </c>
      <c r="Q118" s="8">
        <v>59.722000000000001</v>
      </c>
      <c r="R118" s="8">
        <v>62.070999999999998</v>
      </c>
    </row>
    <row r="119" spans="2:18" x14ac:dyDescent="0.2">
      <c r="B119" t="s">
        <v>93</v>
      </c>
      <c r="C119" t="s">
        <v>220</v>
      </c>
      <c r="D119" s="8">
        <v>31.989000000000001</v>
      </c>
      <c r="E119" s="8">
        <v>33.81</v>
      </c>
      <c r="F119" s="8">
        <v>37.715000000000003</v>
      </c>
      <c r="G119" s="8">
        <v>40.363999999999997</v>
      </c>
      <c r="H119" s="8">
        <v>40.938000000000002</v>
      </c>
      <c r="I119" s="8">
        <v>34.817</v>
      </c>
      <c r="J119" s="8">
        <v>35.46</v>
      </c>
      <c r="K119" s="8">
        <v>40.503999999999998</v>
      </c>
      <c r="L119" s="8">
        <v>52.564</v>
      </c>
      <c r="M119" s="8">
        <v>56.951999999999998</v>
      </c>
      <c r="N119" s="8">
        <v>58.301000000000002</v>
      </c>
      <c r="O119" s="8">
        <v>60.198</v>
      </c>
      <c r="P119" s="8">
        <v>58.927</v>
      </c>
      <c r="Q119" s="8">
        <v>61.170999999999999</v>
      </c>
      <c r="R119" s="8">
        <v>62.851999999999997</v>
      </c>
    </row>
    <row r="120" spans="2:18" x14ac:dyDescent="0.2">
      <c r="B120" t="s">
        <v>95</v>
      </c>
      <c r="C120" t="s">
        <v>220</v>
      </c>
      <c r="D120" s="8">
        <v>45.521000000000001</v>
      </c>
      <c r="E120" s="8">
        <v>47.188000000000002</v>
      </c>
      <c r="F120" s="8">
        <v>49.314999999999998</v>
      </c>
      <c r="G120" s="8">
        <v>54.933</v>
      </c>
      <c r="H120" s="8">
        <v>57.296999999999997</v>
      </c>
      <c r="I120" s="8">
        <v>57.76</v>
      </c>
      <c r="J120" s="8">
        <v>58.536000000000001</v>
      </c>
      <c r="K120" s="8">
        <v>59.808999999999997</v>
      </c>
      <c r="L120" s="8">
        <v>54.997999999999998</v>
      </c>
      <c r="M120" s="8">
        <v>58.195999999999998</v>
      </c>
      <c r="N120" s="8">
        <v>57.883000000000003</v>
      </c>
      <c r="O120" s="8">
        <v>61.16</v>
      </c>
      <c r="P120" s="8">
        <v>60.817</v>
      </c>
      <c r="Q120" s="8">
        <v>61.802</v>
      </c>
      <c r="R120" s="8">
        <v>63.411999999999999</v>
      </c>
    </row>
    <row r="121" spans="2:18" x14ac:dyDescent="0.2">
      <c r="B121" t="s">
        <v>97</v>
      </c>
      <c r="C121" t="s">
        <v>220</v>
      </c>
      <c r="D121" s="8">
        <v>38.747</v>
      </c>
      <c r="E121" s="8">
        <v>45.377000000000002</v>
      </c>
      <c r="F121" s="8">
        <v>41.622</v>
      </c>
      <c r="G121" s="8">
        <v>42.286000000000001</v>
      </c>
      <c r="H121" s="8">
        <v>47.195999999999998</v>
      </c>
      <c r="I121" s="8">
        <v>44.737000000000002</v>
      </c>
      <c r="J121" s="8">
        <v>51.929000000000002</v>
      </c>
      <c r="K121" s="8">
        <v>56.543999999999997</v>
      </c>
      <c r="L121" s="8">
        <v>55.256999999999998</v>
      </c>
      <c r="M121" s="8">
        <v>54.816000000000003</v>
      </c>
      <c r="N121" s="8">
        <v>56.43</v>
      </c>
      <c r="O121" s="8">
        <v>63.082999999999998</v>
      </c>
      <c r="P121" s="8">
        <v>56.146999999999998</v>
      </c>
      <c r="Q121" s="8">
        <v>59.784999999999997</v>
      </c>
      <c r="R121" s="8">
        <v>63.459000000000003</v>
      </c>
    </row>
    <row r="122" spans="2:18" x14ac:dyDescent="0.2">
      <c r="B122" t="s">
        <v>83</v>
      </c>
      <c r="C122" t="s">
        <v>220</v>
      </c>
      <c r="D122" s="8">
        <v>41.012999999999998</v>
      </c>
      <c r="E122" s="8">
        <v>44.41</v>
      </c>
      <c r="F122" s="8">
        <v>48.258000000000003</v>
      </c>
      <c r="G122" s="8">
        <v>49.777000000000001</v>
      </c>
      <c r="H122" s="8">
        <v>55.21</v>
      </c>
      <c r="I122" s="8">
        <v>55.197000000000003</v>
      </c>
      <c r="J122" s="8">
        <v>54.47</v>
      </c>
      <c r="K122" s="8">
        <v>56.097999999999999</v>
      </c>
      <c r="L122" s="8">
        <v>54.103999999999999</v>
      </c>
      <c r="M122" s="8">
        <v>55.472999999999999</v>
      </c>
      <c r="N122" s="8">
        <v>56.057000000000002</v>
      </c>
      <c r="O122" s="8">
        <v>60.4</v>
      </c>
      <c r="P122" s="8">
        <v>61.988</v>
      </c>
      <c r="Q122" s="8">
        <v>63.222000000000001</v>
      </c>
      <c r="R122" s="8">
        <v>64.584999999999994</v>
      </c>
    </row>
    <row r="123" spans="2:18" x14ac:dyDescent="0.2">
      <c r="B123" t="s">
        <v>159</v>
      </c>
      <c r="C123" t="s">
        <v>220</v>
      </c>
      <c r="D123" s="8">
        <v>48.238999999999997</v>
      </c>
      <c r="E123" s="8">
        <v>49.615000000000002</v>
      </c>
      <c r="F123" s="8">
        <v>48.716999999999999</v>
      </c>
      <c r="G123" s="8">
        <v>50.128999999999998</v>
      </c>
      <c r="H123" s="8">
        <v>52.945</v>
      </c>
      <c r="I123" s="8">
        <v>52.604999999999997</v>
      </c>
      <c r="J123" s="8">
        <v>53.332000000000001</v>
      </c>
      <c r="K123" s="8">
        <v>53.893999999999998</v>
      </c>
      <c r="L123" s="8">
        <v>56.353000000000002</v>
      </c>
      <c r="M123" s="8">
        <v>57.359000000000002</v>
      </c>
      <c r="N123" s="8">
        <v>58.502000000000002</v>
      </c>
      <c r="O123" s="8">
        <v>59.292000000000002</v>
      </c>
      <c r="P123" s="8">
        <v>59.94</v>
      </c>
      <c r="Q123" s="8">
        <v>61.716999999999999</v>
      </c>
      <c r="R123" s="8">
        <v>64.694999999999993</v>
      </c>
    </row>
    <row r="124" spans="2:18" x14ac:dyDescent="0.2">
      <c r="B124" t="s">
        <v>96</v>
      </c>
      <c r="C124" t="s">
        <v>220</v>
      </c>
      <c r="D124" s="8">
        <v>41.517000000000003</v>
      </c>
      <c r="E124" s="8">
        <v>42.317999999999998</v>
      </c>
      <c r="F124" s="8">
        <v>42.573999999999998</v>
      </c>
      <c r="G124" s="8">
        <v>41.959000000000003</v>
      </c>
      <c r="H124" s="8">
        <v>47.448</v>
      </c>
      <c r="I124" s="8">
        <v>48.444000000000003</v>
      </c>
      <c r="J124" s="8">
        <v>50.241</v>
      </c>
      <c r="K124" s="8">
        <v>52.896999999999998</v>
      </c>
      <c r="L124" s="8">
        <v>55.92</v>
      </c>
      <c r="M124" s="8">
        <v>55.107999999999997</v>
      </c>
      <c r="N124" s="8">
        <v>57.103999999999999</v>
      </c>
      <c r="O124" s="8">
        <v>61.691000000000003</v>
      </c>
      <c r="P124" s="8">
        <v>60.284999999999997</v>
      </c>
      <c r="Q124" s="8">
        <v>62.347000000000001</v>
      </c>
      <c r="R124" s="8">
        <v>66.251000000000005</v>
      </c>
    </row>
    <row r="125" spans="2:18" x14ac:dyDescent="0.2">
      <c r="B125" t="s">
        <v>142</v>
      </c>
      <c r="C125" t="s">
        <v>220</v>
      </c>
      <c r="D125" s="8">
        <v>41.137</v>
      </c>
      <c r="E125" s="8">
        <v>44.848999999999997</v>
      </c>
      <c r="F125" s="8">
        <v>47.523000000000003</v>
      </c>
      <c r="G125" s="8">
        <v>49.009</v>
      </c>
      <c r="H125" s="8">
        <v>50.055</v>
      </c>
      <c r="I125" s="8">
        <v>49.103999999999999</v>
      </c>
      <c r="J125" s="8">
        <v>52.39</v>
      </c>
      <c r="K125" s="8">
        <v>54.066000000000003</v>
      </c>
      <c r="L125" s="8">
        <v>55.570999999999998</v>
      </c>
      <c r="M125" s="8">
        <v>62.857999999999997</v>
      </c>
      <c r="N125" s="8">
        <v>61.469000000000001</v>
      </c>
      <c r="O125" s="8">
        <v>68.241</v>
      </c>
      <c r="P125" s="8">
        <v>63.933999999999997</v>
      </c>
      <c r="Q125" s="8">
        <v>67.231999999999999</v>
      </c>
      <c r="R125" s="8">
        <v>69.814999999999998</v>
      </c>
    </row>
    <row r="126" spans="2:18" x14ac:dyDescent="0.2">
      <c r="B126" t="s">
        <v>140</v>
      </c>
      <c r="C126" t="s">
        <v>220</v>
      </c>
      <c r="D126" s="8">
        <v>53.347000000000001</v>
      </c>
      <c r="E126" s="8">
        <v>57.667999999999999</v>
      </c>
      <c r="F126" s="8">
        <v>61.798000000000002</v>
      </c>
      <c r="G126" s="8">
        <v>62.710999999999999</v>
      </c>
      <c r="H126" s="8">
        <v>60.136000000000003</v>
      </c>
      <c r="I126" s="8">
        <v>63.280999999999999</v>
      </c>
      <c r="J126" s="8">
        <v>62.304000000000002</v>
      </c>
      <c r="K126" s="8">
        <v>62.713999999999999</v>
      </c>
      <c r="L126" s="8">
        <v>64.935000000000002</v>
      </c>
      <c r="M126" s="8">
        <v>67.644999999999996</v>
      </c>
      <c r="N126" s="8">
        <v>67.790000000000006</v>
      </c>
      <c r="O126" s="8">
        <v>71.319999999999993</v>
      </c>
      <c r="P126" s="8">
        <v>67.840999999999994</v>
      </c>
      <c r="Q126" s="8">
        <v>66.569999999999993</v>
      </c>
      <c r="R126" s="8">
        <v>69.986000000000004</v>
      </c>
    </row>
    <row r="127" spans="2:18" x14ac:dyDescent="0.2">
      <c r="B127" t="s">
        <v>139</v>
      </c>
      <c r="C127" t="s">
        <v>220</v>
      </c>
      <c r="D127" s="8">
        <v>46.683999999999997</v>
      </c>
      <c r="E127" s="8">
        <v>48.822000000000003</v>
      </c>
      <c r="F127" s="8">
        <v>50.487000000000002</v>
      </c>
      <c r="G127" s="8">
        <v>52.765999999999998</v>
      </c>
      <c r="H127" s="8">
        <v>55.54</v>
      </c>
      <c r="I127" s="8">
        <v>57.432000000000002</v>
      </c>
      <c r="J127" s="8">
        <v>55.377000000000002</v>
      </c>
      <c r="K127" s="8">
        <v>55.643999999999998</v>
      </c>
      <c r="L127" s="8">
        <v>58.139000000000003</v>
      </c>
      <c r="M127" s="8">
        <v>59.918999999999997</v>
      </c>
      <c r="N127" s="8">
        <v>61.072000000000003</v>
      </c>
      <c r="O127" s="8">
        <v>64.061999999999998</v>
      </c>
      <c r="P127" s="8">
        <v>63.634999999999998</v>
      </c>
      <c r="Q127" s="8">
        <v>67.358000000000004</v>
      </c>
      <c r="R127" s="8">
        <v>70.198999999999998</v>
      </c>
    </row>
    <row r="128" spans="2:18" x14ac:dyDescent="0.2">
      <c r="B128" t="s">
        <v>104</v>
      </c>
      <c r="C128" t="s">
        <v>220</v>
      </c>
      <c r="D128" s="8">
        <v>40.616</v>
      </c>
      <c r="E128" s="8">
        <v>41.982999999999997</v>
      </c>
      <c r="F128" s="8">
        <v>43.877000000000002</v>
      </c>
      <c r="G128" s="8">
        <v>46.726999999999997</v>
      </c>
      <c r="H128" s="8">
        <v>53.723999999999997</v>
      </c>
      <c r="I128" s="8">
        <v>53.393000000000001</v>
      </c>
      <c r="J128" s="8">
        <v>55.917999999999999</v>
      </c>
      <c r="K128" s="8">
        <v>56.98</v>
      </c>
      <c r="L128" s="8">
        <v>59.189</v>
      </c>
      <c r="M128" s="8">
        <v>59.648000000000003</v>
      </c>
      <c r="N128" s="8">
        <v>66.165999999999997</v>
      </c>
      <c r="O128" s="8">
        <v>68.349999999999994</v>
      </c>
      <c r="P128" s="8">
        <v>64.070999999999998</v>
      </c>
      <c r="Q128" s="8">
        <v>69.236999999999995</v>
      </c>
      <c r="R128" s="8">
        <v>71.543000000000006</v>
      </c>
    </row>
    <row r="129" spans="2:18" x14ac:dyDescent="0.2">
      <c r="B129" t="s">
        <v>102</v>
      </c>
      <c r="C129" t="s">
        <v>220</v>
      </c>
      <c r="D129" s="8">
        <v>37.991</v>
      </c>
      <c r="E129" s="8">
        <v>36.523000000000003</v>
      </c>
      <c r="F129" s="8">
        <v>37.49</v>
      </c>
      <c r="G129" s="8">
        <v>40.865000000000002</v>
      </c>
      <c r="H129" s="8">
        <v>43.624000000000002</v>
      </c>
      <c r="I129" s="8">
        <v>46.984999999999999</v>
      </c>
      <c r="J129" s="8">
        <v>47.863</v>
      </c>
      <c r="K129" s="8">
        <v>53.494999999999997</v>
      </c>
      <c r="L129" s="8">
        <v>58.277999999999999</v>
      </c>
      <c r="M129" s="8">
        <v>63.198</v>
      </c>
      <c r="N129" s="8">
        <v>66.194999999999993</v>
      </c>
      <c r="O129" s="8">
        <v>67.125</v>
      </c>
      <c r="P129" s="8">
        <v>67.582999999999998</v>
      </c>
      <c r="Q129" s="8">
        <v>68.665999999999997</v>
      </c>
      <c r="R129" s="8">
        <v>72.430000000000007</v>
      </c>
    </row>
    <row r="130" spans="2:18" x14ac:dyDescent="0.2">
      <c r="B130" t="s">
        <v>101</v>
      </c>
      <c r="C130" t="s">
        <v>220</v>
      </c>
      <c r="D130" s="8">
        <v>35.552999999999997</v>
      </c>
      <c r="E130" s="8">
        <v>35.404000000000003</v>
      </c>
      <c r="F130" s="8">
        <v>42.601999999999997</v>
      </c>
      <c r="G130" s="8">
        <v>54.125</v>
      </c>
      <c r="H130" s="8">
        <v>54.405999999999999</v>
      </c>
      <c r="I130" s="8">
        <v>56.136000000000003</v>
      </c>
      <c r="J130" s="8">
        <v>60.787999999999997</v>
      </c>
      <c r="K130" s="8">
        <v>49.338000000000001</v>
      </c>
      <c r="L130" s="8">
        <v>46.889000000000003</v>
      </c>
      <c r="M130" s="8">
        <v>51.801000000000002</v>
      </c>
      <c r="N130" s="8">
        <v>52.680999999999997</v>
      </c>
      <c r="O130" s="8">
        <v>64.418000000000006</v>
      </c>
      <c r="P130" s="8">
        <v>62.69</v>
      </c>
      <c r="Q130" s="8">
        <v>68.52</v>
      </c>
      <c r="R130" s="8">
        <v>72.835999999999999</v>
      </c>
    </row>
    <row r="131" spans="2:18" x14ac:dyDescent="0.2">
      <c r="B131" t="s">
        <v>100</v>
      </c>
      <c r="C131" t="s">
        <v>220</v>
      </c>
      <c r="D131" s="8">
        <v>46.195</v>
      </c>
      <c r="E131" s="8">
        <v>49.847000000000001</v>
      </c>
      <c r="F131" s="8">
        <v>54.055999999999997</v>
      </c>
      <c r="G131" s="8">
        <v>55.606999999999999</v>
      </c>
      <c r="H131" s="8">
        <v>54.999000000000002</v>
      </c>
      <c r="I131" s="8">
        <v>54.749000000000002</v>
      </c>
      <c r="J131" s="8">
        <v>56.698</v>
      </c>
      <c r="K131" s="8">
        <v>59.633000000000003</v>
      </c>
      <c r="L131" s="8">
        <v>60.792999999999999</v>
      </c>
      <c r="M131" s="8">
        <v>58.731999999999999</v>
      </c>
      <c r="N131" s="8">
        <v>61.607999999999997</v>
      </c>
      <c r="O131" s="8">
        <v>68.040999999999997</v>
      </c>
      <c r="P131" s="8">
        <v>67</v>
      </c>
      <c r="Q131" s="8">
        <v>70.86</v>
      </c>
      <c r="R131" s="8">
        <v>74.057000000000002</v>
      </c>
    </row>
    <row r="132" spans="2:18" x14ac:dyDescent="0.2">
      <c r="B132" t="s">
        <v>131</v>
      </c>
      <c r="C132" t="s">
        <v>220</v>
      </c>
      <c r="D132" s="8">
        <v>46.713999999999999</v>
      </c>
      <c r="E132" s="8">
        <v>52.098999999999997</v>
      </c>
      <c r="F132" s="8">
        <v>57.219000000000001</v>
      </c>
      <c r="G132" s="8">
        <v>55.368000000000002</v>
      </c>
      <c r="H132" s="8">
        <v>57.183999999999997</v>
      </c>
      <c r="I132" s="8">
        <v>58.02</v>
      </c>
      <c r="J132" s="8">
        <v>57.795999999999999</v>
      </c>
      <c r="K132" s="8">
        <v>60.314999999999998</v>
      </c>
      <c r="L132" s="8">
        <v>57.966999999999999</v>
      </c>
      <c r="M132" s="8">
        <v>62.162999999999997</v>
      </c>
      <c r="N132" s="8">
        <v>63.052</v>
      </c>
      <c r="O132" s="8">
        <v>65.507000000000005</v>
      </c>
      <c r="P132" s="8">
        <v>66.402000000000001</v>
      </c>
      <c r="Q132" s="8">
        <v>71.296999999999997</v>
      </c>
      <c r="R132" s="8">
        <v>74.08</v>
      </c>
    </row>
    <row r="133" spans="2:18" x14ac:dyDescent="0.2">
      <c r="B133" t="s">
        <v>79</v>
      </c>
      <c r="C133" t="s">
        <v>220</v>
      </c>
      <c r="D133" s="8">
        <v>42.100999999999999</v>
      </c>
      <c r="E133" s="8">
        <v>43.57</v>
      </c>
      <c r="F133" s="8">
        <v>45.465000000000003</v>
      </c>
      <c r="G133" s="8">
        <v>44.914000000000001</v>
      </c>
      <c r="H133" s="8">
        <v>53.061999999999998</v>
      </c>
      <c r="I133" s="8">
        <v>55.951000000000001</v>
      </c>
      <c r="J133" s="8">
        <v>53.816000000000003</v>
      </c>
      <c r="K133" s="8">
        <v>56.89</v>
      </c>
      <c r="L133" s="8">
        <v>59.53</v>
      </c>
      <c r="M133" s="8">
        <v>65.88</v>
      </c>
      <c r="N133" s="8">
        <v>66.057000000000002</v>
      </c>
      <c r="O133" s="8">
        <v>67.128</v>
      </c>
      <c r="P133" s="8">
        <v>67.798000000000002</v>
      </c>
      <c r="Q133" s="8">
        <v>71.147999999999996</v>
      </c>
      <c r="R133" s="8">
        <v>74.143000000000001</v>
      </c>
    </row>
    <row r="134" spans="2:18" x14ac:dyDescent="0.2">
      <c r="B134" t="s">
        <v>138</v>
      </c>
      <c r="C134" t="s">
        <v>220</v>
      </c>
      <c r="D134" s="8">
        <v>46.136000000000003</v>
      </c>
      <c r="E134" s="8">
        <v>46.354999999999997</v>
      </c>
      <c r="F134" s="8">
        <v>50.59</v>
      </c>
      <c r="G134" s="8">
        <v>53.98</v>
      </c>
      <c r="H134" s="8">
        <v>56.353000000000002</v>
      </c>
      <c r="I134" s="8">
        <v>57.11</v>
      </c>
      <c r="J134" s="8">
        <v>57.46</v>
      </c>
      <c r="K134" s="8">
        <v>58.475000000000001</v>
      </c>
      <c r="L134" s="8">
        <v>62.56</v>
      </c>
      <c r="M134" s="8">
        <v>63.164999999999999</v>
      </c>
      <c r="N134" s="8">
        <v>60.634</v>
      </c>
      <c r="O134" s="8">
        <v>66.302999999999997</v>
      </c>
      <c r="P134" s="8">
        <v>66.516000000000005</v>
      </c>
      <c r="Q134" s="8">
        <v>71.421999999999997</v>
      </c>
      <c r="R134" s="8">
        <v>74.168000000000006</v>
      </c>
    </row>
    <row r="135" spans="2:18" x14ac:dyDescent="0.2">
      <c r="B135" t="s">
        <v>155</v>
      </c>
      <c r="C135" t="s">
        <v>220</v>
      </c>
      <c r="D135" s="8">
        <v>44.484000000000002</v>
      </c>
      <c r="E135" s="8">
        <v>57.213000000000001</v>
      </c>
      <c r="F135" s="8">
        <v>46.707000000000001</v>
      </c>
      <c r="G135" s="8">
        <v>50.683999999999997</v>
      </c>
      <c r="H135" s="8">
        <v>52.253</v>
      </c>
      <c r="I135" s="8">
        <v>52.280999999999999</v>
      </c>
      <c r="J135" s="8">
        <v>49.34</v>
      </c>
      <c r="K135" s="8">
        <v>47.006999999999998</v>
      </c>
      <c r="L135" s="8">
        <v>48.198999999999998</v>
      </c>
      <c r="M135" s="8">
        <v>45.18</v>
      </c>
      <c r="N135" s="8">
        <v>44.953000000000003</v>
      </c>
      <c r="O135" s="8">
        <v>46.499000000000002</v>
      </c>
      <c r="P135" s="8">
        <v>43.369</v>
      </c>
      <c r="Q135" s="8">
        <v>71.864000000000004</v>
      </c>
      <c r="R135" s="8">
        <v>74.259</v>
      </c>
    </row>
    <row r="136" spans="2:18" x14ac:dyDescent="0.2">
      <c r="B136" t="s">
        <v>78</v>
      </c>
      <c r="C136" t="s">
        <v>220</v>
      </c>
      <c r="D136" s="8">
        <v>40.036999999999999</v>
      </c>
      <c r="E136" s="8">
        <v>41.926000000000002</v>
      </c>
      <c r="F136" s="8">
        <v>43.396999999999998</v>
      </c>
      <c r="G136" s="8">
        <v>46.344999999999999</v>
      </c>
      <c r="H136" s="8">
        <v>47.677999999999997</v>
      </c>
      <c r="I136" s="8">
        <v>49.984000000000002</v>
      </c>
      <c r="J136" s="8">
        <v>52.673999999999999</v>
      </c>
      <c r="K136" s="8">
        <v>55.261000000000003</v>
      </c>
      <c r="L136" s="8">
        <v>58.389000000000003</v>
      </c>
      <c r="M136" s="8">
        <v>60.104999999999997</v>
      </c>
      <c r="N136" s="8">
        <v>63.670999999999999</v>
      </c>
      <c r="O136" s="8">
        <v>65.391999999999996</v>
      </c>
      <c r="P136" s="8">
        <v>66.304000000000002</v>
      </c>
      <c r="Q136" s="8">
        <v>73.706999999999994</v>
      </c>
      <c r="R136" s="8">
        <v>75.683000000000007</v>
      </c>
    </row>
    <row r="137" spans="2:18" x14ac:dyDescent="0.2">
      <c r="B137" t="s">
        <v>176</v>
      </c>
      <c r="C137" t="s">
        <v>220</v>
      </c>
      <c r="D137" s="8">
        <v>55.436999999999998</v>
      </c>
      <c r="E137" s="8">
        <v>52.286999999999999</v>
      </c>
      <c r="F137" s="8">
        <v>52.588999999999999</v>
      </c>
      <c r="G137" s="8">
        <v>53.58</v>
      </c>
      <c r="H137" s="8">
        <v>59.793999999999997</v>
      </c>
      <c r="I137" s="8">
        <v>63.386000000000003</v>
      </c>
      <c r="J137" s="8">
        <v>65.534999999999997</v>
      </c>
      <c r="K137" s="8">
        <v>72.125</v>
      </c>
      <c r="L137" s="8">
        <v>70.805999999999997</v>
      </c>
      <c r="M137" s="8">
        <v>70.424999999999997</v>
      </c>
      <c r="N137" s="8">
        <v>70.960999999999999</v>
      </c>
      <c r="O137" s="8">
        <v>70.673000000000002</v>
      </c>
      <c r="P137" s="8">
        <v>74.525999999999996</v>
      </c>
      <c r="Q137" s="8">
        <v>74.399000000000001</v>
      </c>
      <c r="R137" s="8">
        <v>76.021000000000001</v>
      </c>
    </row>
    <row r="138" spans="2:18" x14ac:dyDescent="0.2">
      <c r="B138" t="s">
        <v>63</v>
      </c>
      <c r="C138" t="s">
        <v>220</v>
      </c>
      <c r="D138" s="8">
        <v>46.658999999999999</v>
      </c>
      <c r="E138" s="8">
        <v>44.37</v>
      </c>
      <c r="F138" s="8">
        <v>45.780999999999999</v>
      </c>
      <c r="G138" s="8">
        <v>49.222000000000001</v>
      </c>
      <c r="H138" s="8">
        <v>54.354999999999997</v>
      </c>
      <c r="I138" s="8">
        <v>61.78</v>
      </c>
      <c r="J138" s="8">
        <v>63.820999999999998</v>
      </c>
      <c r="K138" s="8">
        <v>67.632999999999996</v>
      </c>
      <c r="L138" s="8">
        <v>66.346000000000004</v>
      </c>
      <c r="M138" s="8">
        <v>65.808000000000007</v>
      </c>
      <c r="N138" s="8">
        <v>69.388000000000005</v>
      </c>
      <c r="O138" s="8">
        <v>71.471000000000004</v>
      </c>
      <c r="P138" s="8">
        <v>73.584000000000003</v>
      </c>
      <c r="Q138" s="8">
        <v>75.635999999999996</v>
      </c>
      <c r="R138" s="8">
        <v>77.522000000000006</v>
      </c>
    </row>
    <row r="139" spans="2:18" x14ac:dyDescent="0.2">
      <c r="B139" t="s">
        <v>76</v>
      </c>
      <c r="C139" t="s">
        <v>220</v>
      </c>
      <c r="D139" s="8">
        <v>36.21</v>
      </c>
      <c r="E139" s="8">
        <v>42.454999999999998</v>
      </c>
      <c r="F139" s="8">
        <v>46.826999999999998</v>
      </c>
      <c r="G139" s="8">
        <v>47.725999999999999</v>
      </c>
      <c r="H139" s="8">
        <v>50.978999999999999</v>
      </c>
      <c r="I139" s="8">
        <v>52.676000000000002</v>
      </c>
      <c r="J139" s="8">
        <v>56.936</v>
      </c>
      <c r="K139" s="8">
        <v>60.222999999999999</v>
      </c>
      <c r="L139" s="8">
        <v>59.597999999999999</v>
      </c>
      <c r="M139" s="8">
        <v>62.518999999999998</v>
      </c>
      <c r="N139" s="8">
        <v>67.180999999999997</v>
      </c>
      <c r="O139" s="8">
        <v>67.953999999999994</v>
      </c>
      <c r="P139" s="8">
        <v>67.972999999999999</v>
      </c>
      <c r="Q139" s="8">
        <v>76.230999999999995</v>
      </c>
      <c r="R139" s="8">
        <v>77.649000000000001</v>
      </c>
    </row>
    <row r="140" spans="2:18" x14ac:dyDescent="0.2">
      <c r="B140" t="s">
        <v>75</v>
      </c>
      <c r="C140" t="s">
        <v>220</v>
      </c>
      <c r="D140" s="8">
        <v>67.230999999999995</v>
      </c>
      <c r="E140" s="8">
        <v>68.44</v>
      </c>
      <c r="F140" s="8">
        <v>68.923000000000002</v>
      </c>
      <c r="G140" s="8">
        <v>73.114999999999995</v>
      </c>
      <c r="H140" s="8">
        <v>70.444000000000003</v>
      </c>
      <c r="I140" s="8">
        <v>75.572999999999993</v>
      </c>
      <c r="J140" s="8">
        <v>79.984999999999999</v>
      </c>
      <c r="K140" s="8">
        <v>89.691999999999993</v>
      </c>
      <c r="L140" s="8">
        <v>86.028999999999996</v>
      </c>
      <c r="M140" s="8">
        <v>77.677000000000007</v>
      </c>
      <c r="N140" s="8">
        <v>73.986000000000004</v>
      </c>
      <c r="O140" s="8">
        <v>76.168000000000006</v>
      </c>
      <c r="P140" s="8">
        <v>74.995999999999995</v>
      </c>
      <c r="Q140" s="8">
        <v>76.680000000000007</v>
      </c>
      <c r="R140" s="8">
        <v>78.269000000000005</v>
      </c>
    </row>
    <row r="141" spans="2:18" x14ac:dyDescent="0.2">
      <c r="B141" t="s">
        <v>91</v>
      </c>
      <c r="C141" t="s">
        <v>220</v>
      </c>
      <c r="D141" s="8">
        <v>60.375999999999998</v>
      </c>
      <c r="E141" s="8">
        <v>55.268999999999998</v>
      </c>
      <c r="F141" s="8">
        <v>52.424999999999997</v>
      </c>
      <c r="G141" s="8">
        <v>51.484000000000002</v>
      </c>
      <c r="H141" s="8">
        <v>56.146000000000001</v>
      </c>
      <c r="I141" s="8">
        <v>81.471999999999994</v>
      </c>
      <c r="J141" s="8">
        <v>87.682000000000002</v>
      </c>
      <c r="K141" s="8">
        <v>75.838999999999999</v>
      </c>
      <c r="L141" s="8">
        <v>75.763000000000005</v>
      </c>
      <c r="M141" s="8">
        <v>80.599000000000004</v>
      </c>
      <c r="N141" s="8">
        <v>73.805000000000007</v>
      </c>
      <c r="O141" s="8">
        <v>76.183000000000007</v>
      </c>
      <c r="P141" s="8">
        <v>73.962000000000003</v>
      </c>
      <c r="Q141" s="8">
        <v>76.093999999999994</v>
      </c>
      <c r="R141" s="8">
        <v>78.924999999999997</v>
      </c>
    </row>
    <row r="142" spans="2:18" x14ac:dyDescent="0.2">
      <c r="B142" t="s">
        <v>77</v>
      </c>
      <c r="C142" t="s">
        <v>220</v>
      </c>
      <c r="D142" s="8">
        <v>56.024000000000001</v>
      </c>
      <c r="E142" s="8">
        <v>59.415999999999997</v>
      </c>
      <c r="F142" s="8">
        <v>64.012</v>
      </c>
      <c r="G142" s="8">
        <v>68.825000000000003</v>
      </c>
      <c r="H142" s="8">
        <v>67.561000000000007</v>
      </c>
      <c r="I142" s="8">
        <v>65.956999999999994</v>
      </c>
      <c r="J142" s="8">
        <v>70.225999999999999</v>
      </c>
      <c r="K142" s="8">
        <v>73.313999999999993</v>
      </c>
      <c r="L142" s="8">
        <v>65.971000000000004</v>
      </c>
      <c r="M142" s="8">
        <v>69.786000000000001</v>
      </c>
      <c r="N142" s="8">
        <v>71.84</v>
      </c>
      <c r="O142" s="8">
        <v>74.308999999999997</v>
      </c>
      <c r="P142" s="8">
        <v>75.165999999999997</v>
      </c>
      <c r="Q142" s="8">
        <v>80.731999999999999</v>
      </c>
      <c r="R142" s="8">
        <v>82.93</v>
      </c>
    </row>
    <row r="143" spans="2:18" x14ac:dyDescent="0.2">
      <c r="B143" t="s">
        <v>98</v>
      </c>
      <c r="C143" t="s">
        <v>220</v>
      </c>
      <c r="D143" s="8">
        <v>35.081000000000003</v>
      </c>
      <c r="E143" s="8">
        <v>37.155000000000001</v>
      </c>
      <c r="F143" s="8">
        <v>41.33</v>
      </c>
      <c r="G143" s="8">
        <v>54.22</v>
      </c>
      <c r="H143" s="8">
        <v>53.533999999999999</v>
      </c>
      <c r="I143" s="8">
        <v>50.378999999999998</v>
      </c>
      <c r="J143" s="8">
        <v>47.878</v>
      </c>
      <c r="K143" s="8">
        <v>46.203000000000003</v>
      </c>
      <c r="L143" s="8">
        <v>48.814</v>
      </c>
      <c r="M143" s="8">
        <v>51.640999999999998</v>
      </c>
      <c r="N143" s="8">
        <v>53.582999999999998</v>
      </c>
      <c r="O143" s="8">
        <v>53.676000000000002</v>
      </c>
      <c r="P143" s="8">
        <v>58.286000000000001</v>
      </c>
      <c r="Q143" s="8">
        <v>79.111999999999995</v>
      </c>
      <c r="R143" s="8">
        <v>83.878</v>
      </c>
    </row>
    <row r="144" spans="2:18" x14ac:dyDescent="0.2">
      <c r="B144" t="s">
        <v>136</v>
      </c>
      <c r="C144" t="s">
        <v>220</v>
      </c>
      <c r="D144" s="8">
        <v>61.384999999999998</v>
      </c>
      <c r="E144" s="8">
        <v>54.557000000000002</v>
      </c>
      <c r="F144" s="8">
        <v>50.860999999999997</v>
      </c>
      <c r="G144" s="8">
        <v>55.165999999999997</v>
      </c>
      <c r="H144" s="8">
        <v>59.369</v>
      </c>
      <c r="I144" s="8">
        <v>66.876999999999995</v>
      </c>
      <c r="J144" s="8">
        <v>71.930999999999997</v>
      </c>
      <c r="K144" s="8">
        <v>69.135000000000005</v>
      </c>
      <c r="L144" s="8">
        <v>67.858000000000004</v>
      </c>
      <c r="M144" s="8">
        <v>70.478999999999999</v>
      </c>
      <c r="N144" s="8">
        <v>68.307000000000002</v>
      </c>
      <c r="O144" s="8">
        <v>67.308999999999997</v>
      </c>
      <c r="P144" s="8">
        <v>69.355000000000004</v>
      </c>
      <c r="Q144" s="8">
        <v>81.138000000000005</v>
      </c>
      <c r="R144" s="8">
        <v>84.484999999999999</v>
      </c>
    </row>
    <row r="145" spans="2:18" x14ac:dyDescent="0.2">
      <c r="B145" t="s">
        <v>134</v>
      </c>
      <c r="C145" t="s">
        <v>220</v>
      </c>
      <c r="D145" s="8">
        <v>57.128</v>
      </c>
      <c r="E145" s="8">
        <v>58.936999999999998</v>
      </c>
      <c r="F145" s="8">
        <v>62.119</v>
      </c>
      <c r="G145" s="8">
        <v>63.106999999999999</v>
      </c>
      <c r="H145" s="8">
        <v>66.504999999999995</v>
      </c>
      <c r="I145" s="8">
        <v>70.497</v>
      </c>
      <c r="J145" s="8">
        <v>63.621000000000002</v>
      </c>
      <c r="K145" s="8">
        <v>71.876999999999995</v>
      </c>
      <c r="L145" s="8">
        <v>73.010999999999996</v>
      </c>
      <c r="M145" s="8">
        <v>74.287000000000006</v>
      </c>
      <c r="N145" s="8">
        <v>72.623000000000005</v>
      </c>
      <c r="O145" s="8">
        <v>78.927999999999997</v>
      </c>
      <c r="P145" s="8">
        <v>76.176000000000002</v>
      </c>
      <c r="Q145" s="8">
        <v>81.316000000000003</v>
      </c>
      <c r="R145" s="8">
        <v>84.799000000000007</v>
      </c>
    </row>
    <row r="146" spans="2:18" x14ac:dyDescent="0.2">
      <c r="B146" t="s">
        <v>105</v>
      </c>
      <c r="C146" t="s">
        <v>220</v>
      </c>
      <c r="D146" s="8">
        <v>45.661000000000001</v>
      </c>
      <c r="E146" s="8">
        <v>51.369</v>
      </c>
      <c r="F146" s="8">
        <v>52.462000000000003</v>
      </c>
      <c r="G146" s="8">
        <v>58.021000000000001</v>
      </c>
      <c r="H146" s="8">
        <v>54.884999999999998</v>
      </c>
      <c r="I146" s="8">
        <v>62.732999999999997</v>
      </c>
      <c r="J146" s="8">
        <v>64.161000000000001</v>
      </c>
      <c r="K146" s="8">
        <v>61.889000000000003</v>
      </c>
      <c r="L146" s="8">
        <v>60.304000000000002</v>
      </c>
      <c r="M146" s="8">
        <v>72.581000000000003</v>
      </c>
      <c r="N146" s="8">
        <v>82.012</v>
      </c>
      <c r="O146" s="8">
        <v>84.058999999999997</v>
      </c>
      <c r="P146" s="8">
        <v>79.153999999999996</v>
      </c>
      <c r="Q146" s="8">
        <v>83.495000000000005</v>
      </c>
      <c r="R146" s="8">
        <v>87.04</v>
      </c>
    </row>
    <row r="147" spans="2:18" x14ac:dyDescent="0.2">
      <c r="B147" t="s">
        <v>111</v>
      </c>
      <c r="C147" t="s">
        <v>220</v>
      </c>
      <c r="D147" s="8">
        <v>52.215000000000003</v>
      </c>
      <c r="E147" s="8">
        <v>48.323</v>
      </c>
      <c r="F147" s="8">
        <v>54.893999999999998</v>
      </c>
      <c r="G147" s="8">
        <v>58.124000000000002</v>
      </c>
      <c r="H147" s="8">
        <v>62.774000000000001</v>
      </c>
      <c r="I147" s="8">
        <v>64.638000000000005</v>
      </c>
      <c r="J147" s="8">
        <v>71.83</v>
      </c>
      <c r="K147" s="8">
        <v>79.569999999999993</v>
      </c>
      <c r="L147" s="8">
        <v>82.677000000000007</v>
      </c>
      <c r="M147" s="8">
        <v>82.343000000000004</v>
      </c>
      <c r="N147" s="8">
        <v>78.86</v>
      </c>
      <c r="O147" s="8">
        <v>92.402000000000001</v>
      </c>
      <c r="P147" s="8">
        <v>89.893000000000001</v>
      </c>
      <c r="Q147" s="8">
        <v>87.168999999999997</v>
      </c>
      <c r="R147" s="8">
        <v>89.293000000000006</v>
      </c>
    </row>
    <row r="148" spans="2:18" x14ac:dyDescent="0.2">
      <c r="B148" t="s">
        <v>147</v>
      </c>
      <c r="C148" t="s">
        <v>220</v>
      </c>
      <c r="D148" s="8">
        <v>47.392000000000003</v>
      </c>
      <c r="E148" s="8">
        <v>48.384</v>
      </c>
      <c r="F148" s="8">
        <v>52.417999999999999</v>
      </c>
      <c r="G148" s="8">
        <v>54.396999999999998</v>
      </c>
      <c r="H148" s="8">
        <v>58.936</v>
      </c>
      <c r="I148" s="8">
        <v>65.224999999999994</v>
      </c>
      <c r="J148" s="8">
        <v>66.736000000000004</v>
      </c>
      <c r="K148" s="8">
        <v>69.775999999999996</v>
      </c>
      <c r="L148" s="8">
        <v>74.673000000000002</v>
      </c>
      <c r="M148" s="8">
        <v>77.367000000000004</v>
      </c>
      <c r="N148" s="8">
        <v>76.935000000000002</v>
      </c>
      <c r="O148" s="8">
        <v>82.727000000000004</v>
      </c>
      <c r="P148" s="8">
        <v>83.165999999999997</v>
      </c>
      <c r="Q148" s="8">
        <v>87.730999999999995</v>
      </c>
      <c r="R148" s="8">
        <v>89.572000000000003</v>
      </c>
    </row>
    <row r="149" spans="2:18" x14ac:dyDescent="0.2">
      <c r="B149" t="s">
        <v>179</v>
      </c>
      <c r="C149" t="s">
        <v>220</v>
      </c>
      <c r="D149" s="8">
        <v>59.930999999999997</v>
      </c>
      <c r="E149" s="8">
        <v>61.698</v>
      </c>
      <c r="F149" s="8">
        <v>66.191000000000003</v>
      </c>
      <c r="G149" s="8">
        <v>69.715999999999994</v>
      </c>
      <c r="H149" s="8">
        <v>67.602000000000004</v>
      </c>
      <c r="I149" s="8">
        <v>74.632000000000005</v>
      </c>
      <c r="J149" s="8">
        <v>80.712999999999994</v>
      </c>
      <c r="K149" s="8">
        <v>76.86</v>
      </c>
      <c r="L149" s="8">
        <v>76.751000000000005</v>
      </c>
      <c r="M149" s="8">
        <v>78.703000000000003</v>
      </c>
      <c r="N149" s="8">
        <v>82.778000000000006</v>
      </c>
      <c r="O149" s="8">
        <v>86.474999999999994</v>
      </c>
      <c r="P149" s="8">
        <v>86.933000000000007</v>
      </c>
      <c r="Q149" s="8">
        <v>87.37</v>
      </c>
      <c r="R149" s="8">
        <v>89.816000000000003</v>
      </c>
    </row>
    <row r="150" spans="2:18" x14ac:dyDescent="0.2">
      <c r="B150" t="s">
        <v>130</v>
      </c>
      <c r="C150" t="s">
        <v>220</v>
      </c>
      <c r="D150" s="8">
        <v>105.596</v>
      </c>
      <c r="E150" s="8">
        <v>84.715999999999994</v>
      </c>
      <c r="F150" s="8">
        <v>87.385999999999996</v>
      </c>
      <c r="G150" s="8">
        <v>83.278000000000006</v>
      </c>
      <c r="H150" s="8">
        <v>87.721999999999994</v>
      </c>
      <c r="I150" s="8">
        <v>83.2</v>
      </c>
      <c r="J150" s="8">
        <v>85.301000000000002</v>
      </c>
      <c r="K150" s="8">
        <v>83.873000000000005</v>
      </c>
      <c r="L150" s="8">
        <v>83.049000000000007</v>
      </c>
      <c r="M150" s="8">
        <v>86.302999999999997</v>
      </c>
      <c r="N150" s="8">
        <v>85.716999999999999</v>
      </c>
      <c r="O150" s="8">
        <v>87.653999999999996</v>
      </c>
      <c r="P150" s="8">
        <v>89.775000000000006</v>
      </c>
      <c r="Q150" s="8">
        <v>86.415999999999997</v>
      </c>
      <c r="R150" s="8">
        <v>90.963999999999999</v>
      </c>
    </row>
    <row r="151" spans="2:18" x14ac:dyDescent="0.2">
      <c r="B151" t="s">
        <v>135</v>
      </c>
      <c r="C151" t="s">
        <v>220</v>
      </c>
      <c r="D151" s="8">
        <v>55.826999999999998</v>
      </c>
      <c r="E151" s="8">
        <v>59.485999999999997</v>
      </c>
      <c r="F151" s="8">
        <v>63.128999999999998</v>
      </c>
      <c r="G151" s="8">
        <v>64.48</v>
      </c>
      <c r="H151" s="8">
        <v>67.771000000000001</v>
      </c>
      <c r="I151" s="8">
        <v>71.804000000000002</v>
      </c>
      <c r="J151" s="8">
        <v>71.064999999999998</v>
      </c>
      <c r="K151" s="8">
        <v>74.62</v>
      </c>
      <c r="L151" s="8">
        <v>78.872</v>
      </c>
      <c r="M151" s="8">
        <v>81.385000000000005</v>
      </c>
      <c r="N151" s="8">
        <v>80.444999999999993</v>
      </c>
      <c r="O151" s="8">
        <v>84.295000000000002</v>
      </c>
      <c r="P151" s="8">
        <v>83.881</v>
      </c>
      <c r="Q151" s="8">
        <v>87.45</v>
      </c>
      <c r="R151" s="8">
        <v>91.361999999999995</v>
      </c>
    </row>
    <row r="152" spans="2:18" x14ac:dyDescent="0.2">
      <c r="B152" t="s">
        <v>137</v>
      </c>
      <c r="C152" t="s">
        <v>220</v>
      </c>
      <c r="D152" s="8">
        <v>77.929000000000002</v>
      </c>
      <c r="E152" s="8">
        <v>81.037999999999997</v>
      </c>
      <c r="F152" s="8">
        <v>83.147999999999996</v>
      </c>
      <c r="G152" s="8">
        <v>85.475999999999999</v>
      </c>
      <c r="H152" s="8">
        <v>88.52</v>
      </c>
      <c r="I152" s="8">
        <v>62.406999999999996</v>
      </c>
      <c r="J152" s="8">
        <v>77.468000000000004</v>
      </c>
      <c r="K152" s="8">
        <v>75.182000000000002</v>
      </c>
      <c r="L152" s="8">
        <v>70.992999999999995</v>
      </c>
      <c r="M152" s="8">
        <v>78.087999999999994</v>
      </c>
      <c r="N152" s="8">
        <v>84.893000000000001</v>
      </c>
      <c r="O152" s="8">
        <v>88.835999999999999</v>
      </c>
      <c r="P152" s="8">
        <v>81.980999999999995</v>
      </c>
      <c r="Q152" s="8">
        <v>89.412000000000006</v>
      </c>
      <c r="R152" s="8">
        <v>91.468999999999994</v>
      </c>
    </row>
    <row r="153" spans="2:18" x14ac:dyDescent="0.2">
      <c r="B153" t="s">
        <v>106</v>
      </c>
      <c r="C153" t="s">
        <v>220</v>
      </c>
      <c r="D153" s="8">
        <v>56.790999999999997</v>
      </c>
      <c r="E153" s="8">
        <v>64.956000000000003</v>
      </c>
      <c r="F153" s="8">
        <v>61.698</v>
      </c>
      <c r="G153" s="8">
        <v>68.241</v>
      </c>
      <c r="H153" s="8">
        <v>66.397999999999996</v>
      </c>
      <c r="I153" s="8">
        <v>68.100999999999999</v>
      </c>
      <c r="J153" s="8">
        <v>73.653000000000006</v>
      </c>
      <c r="K153" s="8">
        <v>74.968000000000004</v>
      </c>
      <c r="L153" s="8">
        <v>82.337999999999994</v>
      </c>
      <c r="M153" s="8">
        <v>81.644000000000005</v>
      </c>
      <c r="N153" s="8">
        <v>76.938999999999993</v>
      </c>
      <c r="O153" s="8">
        <v>81.344999999999999</v>
      </c>
      <c r="P153" s="8">
        <v>85.8</v>
      </c>
      <c r="Q153" s="8">
        <v>90.215000000000003</v>
      </c>
      <c r="R153" s="8">
        <v>92.649000000000001</v>
      </c>
    </row>
    <row r="154" spans="2:18" x14ac:dyDescent="0.2">
      <c r="B154" t="s">
        <v>125</v>
      </c>
      <c r="C154" t="s">
        <v>220</v>
      </c>
      <c r="D154" s="8">
        <v>28.641999999999999</v>
      </c>
      <c r="E154" s="8">
        <v>29.696999999999999</v>
      </c>
      <c r="F154" s="8">
        <v>32.232999999999997</v>
      </c>
      <c r="G154" s="8">
        <v>33.811999999999998</v>
      </c>
      <c r="H154" s="8">
        <v>82.585999999999999</v>
      </c>
      <c r="I154" s="8">
        <v>83.072000000000003</v>
      </c>
      <c r="J154" s="8">
        <v>65.210999999999999</v>
      </c>
      <c r="K154" s="8">
        <v>68.537999999999997</v>
      </c>
      <c r="L154" s="8">
        <v>74.995000000000005</v>
      </c>
      <c r="M154" s="8">
        <v>77.426000000000002</v>
      </c>
      <c r="N154" s="8">
        <v>76.905000000000001</v>
      </c>
      <c r="O154" s="8">
        <v>77.787999999999997</v>
      </c>
      <c r="P154" s="8">
        <v>81.14</v>
      </c>
      <c r="Q154" s="8">
        <v>93.834999999999994</v>
      </c>
      <c r="R154" s="8">
        <v>95.933000000000007</v>
      </c>
    </row>
    <row r="155" spans="2:18" x14ac:dyDescent="0.2">
      <c r="B155" t="s">
        <v>151</v>
      </c>
      <c r="C155" t="s">
        <v>220</v>
      </c>
      <c r="D155" s="8">
        <v>70.013999999999996</v>
      </c>
      <c r="E155" s="8">
        <v>67.986999999999995</v>
      </c>
      <c r="F155" s="8">
        <v>68.277000000000001</v>
      </c>
      <c r="G155" s="8">
        <v>72.141000000000005</v>
      </c>
      <c r="H155" s="8">
        <v>75.858000000000004</v>
      </c>
      <c r="I155" s="8">
        <v>77.561000000000007</v>
      </c>
      <c r="J155" s="8">
        <v>81.906000000000006</v>
      </c>
      <c r="K155" s="8">
        <v>84.632999999999996</v>
      </c>
      <c r="L155" s="8">
        <v>90.325000000000003</v>
      </c>
      <c r="M155" s="8">
        <v>92.304000000000002</v>
      </c>
      <c r="N155" s="8">
        <v>96.581000000000003</v>
      </c>
      <c r="O155" s="8">
        <v>103.063</v>
      </c>
      <c r="P155" s="8">
        <v>100.06399999999999</v>
      </c>
      <c r="Q155" s="8">
        <v>100.044</v>
      </c>
      <c r="R155" s="8">
        <v>103.291</v>
      </c>
    </row>
    <row r="156" spans="2:18" x14ac:dyDescent="0.2">
      <c r="B156" t="s">
        <v>65</v>
      </c>
      <c r="C156" t="s">
        <v>220</v>
      </c>
      <c r="D156" s="8">
        <v>57.655999999999999</v>
      </c>
      <c r="E156" s="8">
        <v>61.953000000000003</v>
      </c>
      <c r="F156" s="8">
        <v>64.186999999999998</v>
      </c>
      <c r="G156" s="8">
        <v>74.186999999999998</v>
      </c>
      <c r="H156" s="8">
        <v>75.356999999999999</v>
      </c>
      <c r="I156" s="8">
        <v>79.771000000000001</v>
      </c>
      <c r="J156" s="8">
        <v>81.950999999999993</v>
      </c>
      <c r="K156" s="8">
        <v>84.462000000000003</v>
      </c>
      <c r="L156" s="8">
        <v>85.953999999999994</v>
      </c>
      <c r="M156" s="8">
        <v>87.811999999999998</v>
      </c>
      <c r="N156" s="8">
        <v>87.426000000000002</v>
      </c>
      <c r="O156" s="8">
        <v>90.484999999999999</v>
      </c>
      <c r="P156" s="8">
        <v>94.254999999999995</v>
      </c>
      <c r="Q156" s="8">
        <v>104.149</v>
      </c>
      <c r="R156" s="8">
        <v>107.788</v>
      </c>
    </row>
    <row r="157" spans="2:18" x14ac:dyDescent="0.2">
      <c r="B157" t="s">
        <v>61</v>
      </c>
      <c r="C157" t="s">
        <v>220</v>
      </c>
      <c r="D157" s="8">
        <v>96.671000000000006</v>
      </c>
      <c r="E157" s="8">
        <v>101.376</v>
      </c>
      <c r="F157" s="8">
        <v>111.821</v>
      </c>
      <c r="G157" s="8">
        <v>120.715</v>
      </c>
      <c r="H157" s="8">
        <v>103.76600000000001</v>
      </c>
      <c r="I157" s="8">
        <v>111.374</v>
      </c>
      <c r="J157" s="8">
        <v>79.02</v>
      </c>
      <c r="K157" s="8">
        <v>123.5</v>
      </c>
      <c r="L157" s="8">
        <v>90.772999999999996</v>
      </c>
      <c r="M157" s="8">
        <v>119.46899999999999</v>
      </c>
      <c r="N157" s="8">
        <v>76.73</v>
      </c>
      <c r="O157" s="8">
        <v>109.988</v>
      </c>
      <c r="P157" s="8">
        <v>149.22399999999999</v>
      </c>
      <c r="Q157" s="8">
        <v>107.05500000000001</v>
      </c>
      <c r="R157" s="8">
        <v>109.815</v>
      </c>
    </row>
    <row r="158" spans="2:18" x14ac:dyDescent="0.2">
      <c r="B158" t="s">
        <v>64</v>
      </c>
      <c r="C158" t="s">
        <v>220</v>
      </c>
      <c r="D158" s="8">
        <v>75.397000000000006</v>
      </c>
      <c r="E158" s="8">
        <v>79.864000000000004</v>
      </c>
      <c r="F158" s="8">
        <v>80.912000000000006</v>
      </c>
      <c r="G158" s="8">
        <v>88.704999999999998</v>
      </c>
      <c r="H158" s="8">
        <v>92.194999999999993</v>
      </c>
      <c r="I158" s="8">
        <v>104.26</v>
      </c>
      <c r="J158" s="8">
        <v>107.47</v>
      </c>
      <c r="K158" s="8">
        <v>101.789</v>
      </c>
      <c r="L158" s="8">
        <v>101.196</v>
      </c>
      <c r="M158" s="8">
        <v>103.875</v>
      </c>
      <c r="N158" s="8">
        <v>106.834</v>
      </c>
      <c r="O158" s="8">
        <v>107.24</v>
      </c>
      <c r="P158" s="8">
        <v>107.833</v>
      </c>
      <c r="Q158" s="8">
        <v>109.467</v>
      </c>
      <c r="R158" s="8">
        <v>114.032</v>
      </c>
    </row>
    <row r="159" spans="2:18" x14ac:dyDescent="0.2">
      <c r="B159" t="s">
        <v>161</v>
      </c>
      <c r="C159" t="s">
        <v>220</v>
      </c>
      <c r="D159" s="8">
        <v>83.4</v>
      </c>
      <c r="E159" s="8">
        <v>88.731999999999999</v>
      </c>
      <c r="F159" s="8">
        <v>91.510999999999996</v>
      </c>
      <c r="G159" s="8">
        <v>91.751999999999995</v>
      </c>
      <c r="H159" s="8">
        <v>90.956000000000003</v>
      </c>
      <c r="I159" s="8">
        <v>95.015000000000001</v>
      </c>
      <c r="J159" s="8">
        <v>97.308000000000007</v>
      </c>
      <c r="K159" s="8">
        <v>98.016000000000005</v>
      </c>
      <c r="L159" s="8">
        <v>89.108999999999995</v>
      </c>
      <c r="M159" s="8">
        <v>92.421999999999997</v>
      </c>
      <c r="N159" s="8">
        <v>96.477999999999994</v>
      </c>
      <c r="O159" s="8">
        <v>104.684</v>
      </c>
      <c r="P159" s="8">
        <v>108.904</v>
      </c>
      <c r="Q159" s="8">
        <v>114.589</v>
      </c>
      <c r="R159" s="8">
        <v>117.086</v>
      </c>
    </row>
    <row r="160" spans="2:18" x14ac:dyDescent="0.2">
      <c r="B160" t="s">
        <v>146</v>
      </c>
      <c r="C160" t="s">
        <v>220</v>
      </c>
      <c r="D160" s="8">
        <v>70.100999999999999</v>
      </c>
      <c r="E160" s="8">
        <v>92.706999999999994</v>
      </c>
      <c r="F160" s="8">
        <v>94.77</v>
      </c>
      <c r="G160" s="8">
        <v>99.906999999999996</v>
      </c>
      <c r="H160" s="8">
        <v>100.139</v>
      </c>
      <c r="I160" s="8">
        <v>101.846</v>
      </c>
      <c r="J160" s="8">
        <v>101.358</v>
      </c>
      <c r="K160" s="8">
        <v>107.04900000000001</v>
      </c>
      <c r="L160" s="8">
        <v>102.79300000000001</v>
      </c>
      <c r="M160" s="8">
        <v>104.325</v>
      </c>
      <c r="N160" s="8">
        <v>111.166</v>
      </c>
      <c r="O160" s="8">
        <v>122.642</v>
      </c>
      <c r="P160" s="8">
        <v>116.313</v>
      </c>
      <c r="Q160" s="8">
        <v>118.73699999999999</v>
      </c>
      <c r="R160" s="8">
        <v>122.879</v>
      </c>
    </row>
    <row r="161" spans="2:18" x14ac:dyDescent="0.2">
      <c r="B161" t="s">
        <v>133</v>
      </c>
      <c r="C161" t="s">
        <v>220</v>
      </c>
      <c r="D161" s="8">
        <v>91.436999999999998</v>
      </c>
      <c r="E161" s="8">
        <v>87.99</v>
      </c>
      <c r="F161" s="8">
        <v>98.766000000000005</v>
      </c>
      <c r="G161" s="8">
        <v>101.246</v>
      </c>
      <c r="H161" s="8">
        <v>111.959</v>
      </c>
      <c r="I161" s="8">
        <v>125.089</v>
      </c>
      <c r="J161" s="8">
        <v>122.663</v>
      </c>
      <c r="K161" s="8">
        <v>131.68199999999999</v>
      </c>
      <c r="L161" s="8">
        <v>138.15899999999999</v>
      </c>
      <c r="M161" s="8">
        <v>141.14400000000001</v>
      </c>
      <c r="N161" s="8">
        <v>141.75800000000001</v>
      </c>
      <c r="O161" s="8">
        <v>148.422</v>
      </c>
      <c r="P161" s="8">
        <v>153.04</v>
      </c>
      <c r="Q161" s="8">
        <v>152.40199999999999</v>
      </c>
      <c r="R161" s="8">
        <v>158.70500000000001</v>
      </c>
    </row>
  </sheetData>
  <sortState ref="B6:S161">
    <sortCondition ref="S6:S16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workbookViewId="0"/>
  </sheetViews>
  <sheetFormatPr defaultRowHeight="12.75" x14ac:dyDescent="0.2"/>
  <cols>
    <col min="1" max="1" width="3" customWidth="1"/>
    <col min="2" max="2" width="14.42578125" customWidth="1"/>
    <col min="3" max="3" width="9.85546875" customWidth="1"/>
  </cols>
  <sheetData>
    <row r="1" spans="2:18" x14ac:dyDescent="0.2">
      <c r="B1" t="s">
        <v>9</v>
      </c>
    </row>
    <row r="2" spans="2:18" x14ac:dyDescent="0.2">
      <c r="B2" t="s">
        <v>8</v>
      </c>
    </row>
    <row r="4" spans="2:18" x14ac:dyDescent="0.2">
      <c r="B4" t="s">
        <v>11</v>
      </c>
      <c r="C4" t="s">
        <v>0</v>
      </c>
      <c r="D4">
        <v>2001</v>
      </c>
      <c r="E4">
        <v>2002</v>
      </c>
      <c r="F4">
        <v>2003</v>
      </c>
      <c r="G4">
        <v>2004</v>
      </c>
      <c r="H4">
        <v>2005</v>
      </c>
      <c r="I4">
        <v>2006</v>
      </c>
      <c r="J4">
        <v>2007</v>
      </c>
      <c r="K4">
        <v>2008</v>
      </c>
      <c r="L4">
        <v>2009</v>
      </c>
      <c r="M4">
        <v>2010</v>
      </c>
      <c r="N4">
        <v>2011</v>
      </c>
      <c r="O4">
        <v>2012</v>
      </c>
      <c r="P4">
        <v>2013</v>
      </c>
      <c r="Q4">
        <v>2014</v>
      </c>
      <c r="R4">
        <v>2015</v>
      </c>
    </row>
    <row r="5" spans="2:18" x14ac:dyDescent="0.2">
      <c r="B5" t="s">
        <v>1</v>
      </c>
      <c r="C5" t="s">
        <v>2</v>
      </c>
      <c r="D5">
        <v>42545</v>
      </c>
      <c r="E5">
        <v>40624</v>
      </c>
      <c r="F5">
        <v>40924</v>
      </c>
      <c r="G5">
        <v>41819</v>
      </c>
      <c r="H5">
        <v>41713</v>
      </c>
      <c r="I5">
        <v>41608</v>
      </c>
      <c r="J5">
        <v>44937</v>
      </c>
      <c r="K5">
        <v>44796</v>
      </c>
      <c r="L5">
        <v>41747</v>
      </c>
      <c r="M5">
        <v>40202</v>
      </c>
      <c r="N5">
        <v>39310</v>
      </c>
      <c r="O5">
        <v>39116</v>
      </c>
      <c r="P5">
        <v>38012</v>
      </c>
      <c r="Q5">
        <v>37872</v>
      </c>
      <c r="R5">
        <v>38361</v>
      </c>
    </row>
    <row r="6" spans="2:18" x14ac:dyDescent="0.2">
      <c r="B6" t="s">
        <v>3</v>
      </c>
      <c r="C6" t="s">
        <v>2</v>
      </c>
      <c r="D6">
        <v>41243</v>
      </c>
      <c r="E6">
        <v>42367</v>
      </c>
      <c r="F6">
        <v>40432</v>
      </c>
      <c r="G6">
        <v>40848</v>
      </c>
      <c r="H6">
        <v>41679</v>
      </c>
      <c r="I6">
        <v>40927</v>
      </c>
      <c r="J6">
        <v>41238</v>
      </c>
      <c r="K6">
        <v>44252</v>
      </c>
      <c r="L6">
        <v>44045</v>
      </c>
      <c r="M6">
        <v>41179</v>
      </c>
      <c r="N6">
        <v>40214</v>
      </c>
      <c r="O6">
        <v>39348</v>
      </c>
      <c r="P6">
        <v>39208</v>
      </c>
      <c r="Q6">
        <v>38086</v>
      </c>
      <c r="R6">
        <v>37625</v>
      </c>
    </row>
    <row r="7" spans="2:18" x14ac:dyDescent="0.2">
      <c r="B7" t="s">
        <v>4</v>
      </c>
      <c r="C7" t="s">
        <v>2</v>
      </c>
      <c r="D7">
        <v>40459</v>
      </c>
      <c r="E7">
        <v>40788</v>
      </c>
      <c r="F7">
        <v>42047</v>
      </c>
      <c r="G7">
        <v>40289</v>
      </c>
      <c r="H7">
        <v>40483</v>
      </c>
      <c r="I7">
        <v>40932</v>
      </c>
      <c r="J7">
        <v>40647</v>
      </c>
      <c r="K7">
        <v>40551</v>
      </c>
      <c r="L7">
        <v>43536</v>
      </c>
      <c r="M7">
        <v>43113</v>
      </c>
      <c r="N7">
        <v>41049</v>
      </c>
      <c r="O7">
        <v>40061</v>
      </c>
      <c r="P7">
        <v>39259</v>
      </c>
      <c r="Q7">
        <v>39143</v>
      </c>
      <c r="R7">
        <v>38219</v>
      </c>
    </row>
    <row r="8" spans="2:18" x14ac:dyDescent="0.2">
      <c r="B8" t="s">
        <v>5</v>
      </c>
      <c r="C8" t="s">
        <v>2</v>
      </c>
      <c r="D8">
        <v>40395</v>
      </c>
      <c r="E8">
        <v>40385</v>
      </c>
      <c r="F8">
        <v>40913</v>
      </c>
      <c r="G8">
        <v>42551</v>
      </c>
      <c r="H8">
        <v>40830</v>
      </c>
      <c r="I8">
        <v>40725</v>
      </c>
      <c r="J8">
        <v>41718</v>
      </c>
      <c r="K8">
        <v>41468</v>
      </c>
      <c r="L8">
        <v>41519</v>
      </c>
      <c r="M8">
        <v>43860</v>
      </c>
      <c r="N8">
        <v>43156</v>
      </c>
      <c r="O8">
        <v>40925</v>
      </c>
      <c r="P8">
        <v>39979</v>
      </c>
      <c r="Q8">
        <v>39193</v>
      </c>
      <c r="R8">
        <v>39301</v>
      </c>
    </row>
    <row r="9" spans="2:18" x14ac:dyDescent="0.2">
      <c r="B9" t="s">
        <v>6</v>
      </c>
      <c r="C9" t="s">
        <v>2</v>
      </c>
      <c r="D9">
        <v>39805</v>
      </c>
      <c r="E9">
        <v>40327</v>
      </c>
      <c r="F9">
        <v>40285</v>
      </c>
      <c r="G9">
        <v>41112</v>
      </c>
      <c r="H9">
        <v>42628</v>
      </c>
      <c r="I9">
        <v>40476</v>
      </c>
      <c r="J9">
        <v>40978</v>
      </c>
      <c r="K9">
        <v>42004</v>
      </c>
      <c r="L9">
        <v>41640</v>
      </c>
      <c r="M9">
        <v>42173</v>
      </c>
      <c r="N9">
        <v>43745</v>
      </c>
      <c r="O9">
        <v>43039</v>
      </c>
      <c r="P9">
        <v>40739</v>
      </c>
      <c r="Q9">
        <v>39814</v>
      </c>
      <c r="R9">
        <v>39345</v>
      </c>
    </row>
    <row r="10" spans="2:18" x14ac:dyDescent="0.2">
      <c r="B10" t="s">
        <v>7</v>
      </c>
      <c r="C10" t="s">
        <v>2</v>
      </c>
      <c r="D10">
        <v>40726</v>
      </c>
      <c r="E10">
        <v>39632</v>
      </c>
      <c r="F10">
        <v>40265</v>
      </c>
      <c r="G10">
        <v>40264</v>
      </c>
      <c r="H10">
        <v>41069</v>
      </c>
      <c r="I10">
        <v>42098</v>
      </c>
      <c r="J10">
        <v>40499</v>
      </c>
      <c r="K10">
        <v>40670</v>
      </c>
      <c r="L10">
        <v>41761</v>
      </c>
      <c r="M10">
        <v>41461</v>
      </c>
      <c r="N10">
        <v>42101</v>
      </c>
      <c r="O10">
        <v>43578</v>
      </c>
      <c r="P10">
        <v>42839</v>
      </c>
      <c r="Q10">
        <v>40630</v>
      </c>
      <c r="R10">
        <v>39956</v>
      </c>
    </row>
    <row r="11" spans="2:18" x14ac:dyDescent="0.2">
      <c r="B11" t="s">
        <v>13</v>
      </c>
      <c r="C11" t="s">
        <v>2</v>
      </c>
      <c r="D11">
        <f>SUM(D5:D10)</f>
        <v>245173</v>
      </c>
      <c r="E11">
        <f t="shared" ref="E11:R11" si="0">SUM(E5:E10)</f>
        <v>244123</v>
      </c>
      <c r="F11">
        <f t="shared" si="0"/>
        <v>244866</v>
      </c>
      <c r="G11">
        <f t="shared" si="0"/>
        <v>246883</v>
      </c>
      <c r="H11">
        <f t="shared" si="0"/>
        <v>248402</v>
      </c>
      <c r="I11">
        <f t="shared" si="0"/>
        <v>246766</v>
      </c>
      <c r="J11">
        <f t="shared" si="0"/>
        <v>250017</v>
      </c>
      <c r="K11">
        <f t="shared" si="0"/>
        <v>253741</v>
      </c>
      <c r="L11">
        <f t="shared" si="0"/>
        <v>254248</v>
      </c>
      <c r="M11">
        <f t="shared" si="0"/>
        <v>251988</v>
      </c>
      <c r="N11">
        <f t="shared" si="0"/>
        <v>249575</v>
      </c>
      <c r="O11">
        <f t="shared" si="0"/>
        <v>246067</v>
      </c>
      <c r="P11">
        <f t="shared" si="0"/>
        <v>240036</v>
      </c>
      <c r="Q11">
        <f t="shared" si="0"/>
        <v>234738</v>
      </c>
      <c r="R11">
        <f t="shared" si="0"/>
        <v>232807</v>
      </c>
    </row>
    <row r="12" spans="2:18" x14ac:dyDescent="0.2">
      <c r="D12" s="55">
        <f t="shared" ref="D12:R12" si="1">D11/6</f>
        <v>40862.166666666664</v>
      </c>
      <c r="E12" s="55">
        <f t="shared" si="1"/>
        <v>40687.166666666664</v>
      </c>
      <c r="F12" s="55">
        <f t="shared" si="1"/>
        <v>40811</v>
      </c>
      <c r="G12" s="55">
        <f t="shared" si="1"/>
        <v>41147.166666666664</v>
      </c>
      <c r="H12" s="55">
        <f t="shared" si="1"/>
        <v>41400.333333333336</v>
      </c>
      <c r="I12" s="55">
        <f t="shared" si="1"/>
        <v>41127.666666666664</v>
      </c>
      <c r="J12" s="55">
        <f t="shared" si="1"/>
        <v>41669.5</v>
      </c>
      <c r="K12" s="55">
        <f t="shared" si="1"/>
        <v>42290.166666666664</v>
      </c>
      <c r="L12" s="55">
        <f t="shared" si="1"/>
        <v>42374.666666666664</v>
      </c>
      <c r="M12" s="55">
        <f t="shared" si="1"/>
        <v>41998</v>
      </c>
      <c r="N12" s="55">
        <f t="shared" si="1"/>
        <v>41595.833333333336</v>
      </c>
      <c r="O12" s="55">
        <f t="shared" si="1"/>
        <v>41011.166666666664</v>
      </c>
      <c r="P12" s="55">
        <f t="shared" si="1"/>
        <v>40006</v>
      </c>
      <c r="Q12" s="55">
        <f t="shared" si="1"/>
        <v>39123</v>
      </c>
      <c r="R12" s="55">
        <f t="shared" si="1"/>
        <v>38801.166666666664</v>
      </c>
    </row>
    <row r="14" spans="2:18" x14ac:dyDescent="0.2">
      <c r="B14" t="s">
        <v>10</v>
      </c>
      <c r="C14" t="s">
        <v>0</v>
      </c>
      <c r="D14">
        <v>2001</v>
      </c>
      <c r="E14">
        <v>2002</v>
      </c>
      <c r="F14">
        <v>2003</v>
      </c>
      <c r="G14">
        <v>2004</v>
      </c>
      <c r="H14">
        <v>2005</v>
      </c>
      <c r="I14">
        <v>2006</v>
      </c>
      <c r="J14">
        <v>2007</v>
      </c>
      <c r="K14">
        <v>2008</v>
      </c>
      <c r="L14">
        <v>2009</v>
      </c>
      <c r="M14">
        <v>2010</v>
      </c>
      <c r="N14">
        <v>2011</v>
      </c>
      <c r="O14">
        <v>2012</v>
      </c>
      <c r="P14">
        <v>2013</v>
      </c>
      <c r="Q14">
        <v>2014</v>
      </c>
      <c r="R14">
        <v>2015</v>
      </c>
    </row>
    <row r="15" spans="2:18" x14ac:dyDescent="0.2">
      <c r="B15" t="s">
        <v>1</v>
      </c>
      <c r="C15" t="s">
        <v>2</v>
      </c>
      <c r="D15">
        <v>22063</v>
      </c>
      <c r="E15">
        <v>21098</v>
      </c>
      <c r="F15">
        <v>21556</v>
      </c>
      <c r="G15">
        <v>22275</v>
      </c>
      <c r="H15">
        <v>21618</v>
      </c>
      <c r="I15">
        <v>20628</v>
      </c>
      <c r="J15">
        <v>22032</v>
      </c>
      <c r="K15">
        <v>21913</v>
      </c>
      <c r="L15">
        <v>20244</v>
      </c>
      <c r="M15">
        <v>19495</v>
      </c>
      <c r="N15">
        <v>19402</v>
      </c>
      <c r="O15">
        <v>19473</v>
      </c>
      <c r="P15">
        <v>18204</v>
      </c>
      <c r="Q15">
        <v>17844</v>
      </c>
      <c r="R15">
        <v>18239</v>
      </c>
    </row>
    <row r="16" spans="2:18" x14ac:dyDescent="0.2">
      <c r="B16" t="s">
        <v>3</v>
      </c>
      <c r="C16" t="s">
        <v>2</v>
      </c>
      <c r="D16">
        <v>21145</v>
      </c>
      <c r="E16">
        <v>21867</v>
      </c>
      <c r="F16">
        <v>20750</v>
      </c>
      <c r="G16">
        <v>21295</v>
      </c>
      <c r="H16">
        <v>21946</v>
      </c>
      <c r="I16">
        <v>20848</v>
      </c>
      <c r="J16">
        <v>20046</v>
      </c>
      <c r="K16">
        <v>21352</v>
      </c>
      <c r="L16">
        <v>21115</v>
      </c>
      <c r="M16">
        <v>19675</v>
      </c>
      <c r="N16">
        <v>19543</v>
      </c>
      <c r="O16">
        <v>19448</v>
      </c>
      <c r="P16">
        <v>19520</v>
      </c>
      <c r="Q16">
        <v>18258</v>
      </c>
      <c r="R16">
        <v>17830</v>
      </c>
    </row>
    <row r="17" spans="2:18" x14ac:dyDescent="0.2">
      <c r="B17" t="s">
        <v>4</v>
      </c>
      <c r="C17" t="s">
        <v>2</v>
      </c>
      <c r="D17">
        <v>21021</v>
      </c>
      <c r="E17">
        <v>20811</v>
      </c>
      <c r="F17">
        <v>21612</v>
      </c>
      <c r="G17">
        <v>20546</v>
      </c>
      <c r="H17">
        <v>20924</v>
      </c>
      <c r="I17">
        <v>21313</v>
      </c>
      <c r="J17">
        <v>20484</v>
      </c>
      <c r="K17">
        <v>19519</v>
      </c>
      <c r="L17">
        <v>20769</v>
      </c>
      <c r="M17">
        <v>20438</v>
      </c>
      <c r="N17">
        <v>19506</v>
      </c>
      <c r="O17">
        <v>19501</v>
      </c>
      <c r="P17">
        <v>19412</v>
      </c>
      <c r="Q17">
        <v>19499</v>
      </c>
      <c r="R17">
        <v>18346</v>
      </c>
    </row>
    <row r="18" spans="2:18" x14ac:dyDescent="0.2">
      <c r="B18" t="s">
        <v>5</v>
      </c>
      <c r="C18" t="s">
        <v>2</v>
      </c>
      <c r="D18">
        <v>20762</v>
      </c>
      <c r="E18">
        <v>20856</v>
      </c>
      <c r="F18">
        <v>20741</v>
      </c>
      <c r="G18">
        <v>21721</v>
      </c>
      <c r="H18">
        <v>20648</v>
      </c>
      <c r="I18">
        <v>20830</v>
      </c>
      <c r="J18">
        <v>21530</v>
      </c>
      <c r="K18">
        <v>20742</v>
      </c>
      <c r="L18">
        <v>19862</v>
      </c>
      <c r="M18">
        <v>20819</v>
      </c>
      <c r="N18">
        <v>20464</v>
      </c>
      <c r="O18">
        <v>19532</v>
      </c>
      <c r="P18">
        <v>19473</v>
      </c>
      <c r="Q18">
        <v>19401</v>
      </c>
      <c r="R18">
        <v>19591</v>
      </c>
    </row>
    <row r="19" spans="2:18" x14ac:dyDescent="0.2">
      <c r="B19" t="s">
        <v>6</v>
      </c>
      <c r="C19" t="s">
        <v>2</v>
      </c>
      <c r="D19">
        <v>20425</v>
      </c>
      <c r="E19">
        <v>20705</v>
      </c>
      <c r="F19">
        <v>20870</v>
      </c>
      <c r="G19">
        <v>20898</v>
      </c>
      <c r="H19">
        <v>21829</v>
      </c>
      <c r="I19">
        <v>20552</v>
      </c>
      <c r="J19">
        <v>21037</v>
      </c>
      <c r="K19">
        <v>21759</v>
      </c>
      <c r="L19">
        <v>21000</v>
      </c>
      <c r="M19">
        <v>20454</v>
      </c>
      <c r="N19">
        <v>20765</v>
      </c>
      <c r="O19">
        <v>20451</v>
      </c>
      <c r="P19">
        <v>19388</v>
      </c>
      <c r="Q19">
        <v>19455</v>
      </c>
      <c r="R19">
        <v>19488</v>
      </c>
    </row>
    <row r="20" spans="2:18" x14ac:dyDescent="0.2">
      <c r="B20" t="s">
        <v>7</v>
      </c>
      <c r="C20" t="s">
        <v>2</v>
      </c>
      <c r="D20">
        <v>20783</v>
      </c>
      <c r="E20">
        <v>20309</v>
      </c>
      <c r="F20">
        <v>20570</v>
      </c>
      <c r="G20">
        <v>20772</v>
      </c>
      <c r="H20">
        <v>20751</v>
      </c>
      <c r="I20">
        <v>21412</v>
      </c>
      <c r="J20">
        <v>20342</v>
      </c>
      <c r="K20">
        <v>20594</v>
      </c>
      <c r="L20">
        <v>21442</v>
      </c>
      <c r="M20">
        <v>20629</v>
      </c>
      <c r="N20">
        <v>20460</v>
      </c>
      <c r="O20">
        <v>20765</v>
      </c>
      <c r="P20">
        <v>20406</v>
      </c>
      <c r="Q20">
        <v>19433</v>
      </c>
      <c r="R20">
        <v>19533</v>
      </c>
    </row>
    <row r="21" spans="2:18" x14ac:dyDescent="0.2">
      <c r="B21" t="s">
        <v>13</v>
      </c>
      <c r="C21" t="s">
        <v>2</v>
      </c>
      <c r="D21">
        <f>SUM(D15:D20)</f>
        <v>126199</v>
      </c>
      <c r="E21">
        <f t="shared" ref="E21:R21" si="2">SUM(E15:E20)</f>
        <v>125646</v>
      </c>
      <c r="F21">
        <f t="shared" si="2"/>
        <v>126099</v>
      </c>
      <c r="G21">
        <f t="shared" si="2"/>
        <v>127507</v>
      </c>
      <c r="H21">
        <f t="shared" si="2"/>
        <v>127716</v>
      </c>
      <c r="I21">
        <f t="shared" si="2"/>
        <v>125583</v>
      </c>
      <c r="J21">
        <f t="shared" si="2"/>
        <v>125471</v>
      </c>
      <c r="K21">
        <f t="shared" si="2"/>
        <v>125879</v>
      </c>
      <c r="L21">
        <f t="shared" si="2"/>
        <v>124432</v>
      </c>
      <c r="M21">
        <f t="shared" si="2"/>
        <v>121510</v>
      </c>
      <c r="N21">
        <f t="shared" si="2"/>
        <v>120140</v>
      </c>
      <c r="O21">
        <f t="shared" si="2"/>
        <v>119170</v>
      </c>
      <c r="P21">
        <f t="shared" si="2"/>
        <v>116403</v>
      </c>
      <c r="Q21">
        <f t="shared" si="2"/>
        <v>113890</v>
      </c>
      <c r="R21">
        <f t="shared" si="2"/>
        <v>113027</v>
      </c>
    </row>
    <row r="22" spans="2:18" x14ac:dyDescent="0.2">
      <c r="D22" s="55">
        <f t="shared" ref="D22:R22" si="3">D21/6</f>
        <v>21033.166666666668</v>
      </c>
      <c r="E22" s="55">
        <f t="shared" si="3"/>
        <v>20941</v>
      </c>
      <c r="F22" s="55">
        <f t="shared" si="3"/>
        <v>21016.5</v>
      </c>
      <c r="G22" s="55">
        <f t="shared" si="3"/>
        <v>21251.166666666668</v>
      </c>
      <c r="H22" s="55">
        <f t="shared" si="3"/>
        <v>21286</v>
      </c>
      <c r="I22" s="55">
        <f t="shared" si="3"/>
        <v>20930.5</v>
      </c>
      <c r="J22" s="55">
        <f t="shared" si="3"/>
        <v>20911.833333333332</v>
      </c>
      <c r="K22" s="55">
        <f t="shared" si="3"/>
        <v>20979.833333333332</v>
      </c>
      <c r="L22" s="55">
        <f t="shared" si="3"/>
        <v>20738.666666666668</v>
      </c>
      <c r="M22" s="55">
        <f t="shared" si="3"/>
        <v>20251.666666666668</v>
      </c>
      <c r="N22" s="55">
        <f t="shared" si="3"/>
        <v>20023.333333333332</v>
      </c>
      <c r="O22" s="55">
        <f t="shared" si="3"/>
        <v>19861.666666666668</v>
      </c>
      <c r="P22" s="55">
        <f t="shared" si="3"/>
        <v>19400.5</v>
      </c>
      <c r="Q22" s="55">
        <f t="shared" si="3"/>
        <v>18981.666666666668</v>
      </c>
      <c r="R22" s="55">
        <f t="shared" si="3"/>
        <v>18837.833333333332</v>
      </c>
    </row>
    <row r="24" spans="2:18" x14ac:dyDescent="0.2">
      <c r="B24" t="s">
        <v>12</v>
      </c>
      <c r="C24" t="s">
        <v>0</v>
      </c>
      <c r="D24">
        <v>2001</v>
      </c>
      <c r="E24">
        <v>2002</v>
      </c>
      <c r="F24">
        <v>2003</v>
      </c>
      <c r="G24">
        <v>2004</v>
      </c>
      <c r="H24">
        <v>2005</v>
      </c>
      <c r="I24">
        <v>2006</v>
      </c>
      <c r="J24">
        <v>2007</v>
      </c>
      <c r="K24">
        <v>2008</v>
      </c>
      <c r="L24">
        <v>2009</v>
      </c>
      <c r="M24">
        <v>2010</v>
      </c>
      <c r="N24">
        <v>2011</v>
      </c>
      <c r="O24">
        <v>2012</v>
      </c>
      <c r="P24">
        <v>2013</v>
      </c>
      <c r="Q24">
        <v>2014</v>
      </c>
      <c r="R24">
        <v>2015</v>
      </c>
    </row>
    <row r="25" spans="2:18" x14ac:dyDescent="0.2">
      <c r="B25" t="s">
        <v>1</v>
      </c>
      <c r="C25" t="s">
        <v>2</v>
      </c>
      <c r="D25">
        <f>D5-D15</f>
        <v>20482</v>
      </c>
      <c r="E25">
        <f t="shared" ref="E25:Q25" si="4">E5-E15</f>
        <v>19526</v>
      </c>
      <c r="F25">
        <f t="shared" si="4"/>
        <v>19368</v>
      </c>
      <c r="G25">
        <f t="shared" si="4"/>
        <v>19544</v>
      </c>
      <c r="H25">
        <f t="shared" si="4"/>
        <v>20095</v>
      </c>
      <c r="I25">
        <f t="shared" si="4"/>
        <v>20980</v>
      </c>
      <c r="J25">
        <f t="shared" si="4"/>
        <v>22905</v>
      </c>
      <c r="K25">
        <f t="shared" si="4"/>
        <v>22883</v>
      </c>
      <c r="L25">
        <f t="shared" si="4"/>
        <v>21503</v>
      </c>
      <c r="M25">
        <f t="shared" si="4"/>
        <v>20707</v>
      </c>
      <c r="N25">
        <f t="shared" si="4"/>
        <v>19908</v>
      </c>
      <c r="O25">
        <f t="shared" si="4"/>
        <v>19643</v>
      </c>
      <c r="P25">
        <f t="shared" si="4"/>
        <v>19808</v>
      </c>
      <c r="Q25">
        <f t="shared" si="4"/>
        <v>20028</v>
      </c>
      <c r="R25">
        <f>R5-R15</f>
        <v>20122</v>
      </c>
    </row>
    <row r="26" spans="2:18" x14ac:dyDescent="0.2">
      <c r="B26" t="s">
        <v>3</v>
      </c>
      <c r="C26" t="s">
        <v>2</v>
      </c>
      <c r="D26">
        <f t="shared" ref="D26:R26" si="5">D6-D16</f>
        <v>20098</v>
      </c>
      <c r="E26">
        <f t="shared" si="5"/>
        <v>20500</v>
      </c>
      <c r="F26">
        <f t="shared" si="5"/>
        <v>19682</v>
      </c>
      <c r="G26">
        <f t="shared" si="5"/>
        <v>19553</v>
      </c>
      <c r="H26">
        <f t="shared" si="5"/>
        <v>19733</v>
      </c>
      <c r="I26">
        <f t="shared" si="5"/>
        <v>20079</v>
      </c>
      <c r="J26">
        <f t="shared" si="5"/>
        <v>21192</v>
      </c>
      <c r="K26">
        <f t="shared" si="5"/>
        <v>22900</v>
      </c>
      <c r="L26">
        <f t="shared" si="5"/>
        <v>22930</v>
      </c>
      <c r="M26">
        <f t="shared" si="5"/>
        <v>21504</v>
      </c>
      <c r="N26">
        <f t="shared" si="5"/>
        <v>20671</v>
      </c>
      <c r="O26">
        <f t="shared" si="5"/>
        <v>19900</v>
      </c>
      <c r="P26">
        <f t="shared" si="5"/>
        <v>19688</v>
      </c>
      <c r="Q26">
        <f t="shared" si="5"/>
        <v>19828</v>
      </c>
      <c r="R26">
        <f t="shared" si="5"/>
        <v>19795</v>
      </c>
    </row>
    <row r="27" spans="2:18" x14ac:dyDescent="0.2">
      <c r="B27" t="s">
        <v>4</v>
      </c>
      <c r="C27" t="s">
        <v>2</v>
      </c>
      <c r="D27">
        <f t="shared" ref="D27:R27" si="6">D7-D17</f>
        <v>19438</v>
      </c>
      <c r="E27">
        <f t="shared" si="6"/>
        <v>19977</v>
      </c>
      <c r="F27">
        <f t="shared" si="6"/>
        <v>20435</v>
      </c>
      <c r="G27">
        <f t="shared" si="6"/>
        <v>19743</v>
      </c>
      <c r="H27">
        <f t="shared" si="6"/>
        <v>19559</v>
      </c>
      <c r="I27">
        <f t="shared" si="6"/>
        <v>19619</v>
      </c>
      <c r="J27">
        <f t="shared" si="6"/>
        <v>20163</v>
      </c>
      <c r="K27">
        <f t="shared" si="6"/>
        <v>21032</v>
      </c>
      <c r="L27">
        <f t="shared" si="6"/>
        <v>22767</v>
      </c>
      <c r="M27">
        <f t="shared" si="6"/>
        <v>22675</v>
      </c>
      <c r="N27">
        <f t="shared" si="6"/>
        <v>21543</v>
      </c>
      <c r="O27">
        <f t="shared" si="6"/>
        <v>20560</v>
      </c>
      <c r="P27">
        <f t="shared" si="6"/>
        <v>19847</v>
      </c>
      <c r="Q27">
        <f t="shared" si="6"/>
        <v>19644</v>
      </c>
      <c r="R27">
        <f t="shared" si="6"/>
        <v>19873</v>
      </c>
    </row>
    <row r="28" spans="2:18" x14ac:dyDescent="0.2">
      <c r="B28" t="s">
        <v>5</v>
      </c>
      <c r="C28" t="s">
        <v>2</v>
      </c>
      <c r="D28">
        <f t="shared" ref="D28:R28" si="7">D8-D18</f>
        <v>19633</v>
      </c>
      <c r="E28">
        <f t="shared" si="7"/>
        <v>19529</v>
      </c>
      <c r="F28">
        <f t="shared" si="7"/>
        <v>20172</v>
      </c>
      <c r="G28">
        <f t="shared" si="7"/>
        <v>20830</v>
      </c>
      <c r="H28">
        <f t="shared" si="7"/>
        <v>20182</v>
      </c>
      <c r="I28">
        <f t="shared" si="7"/>
        <v>19895</v>
      </c>
      <c r="J28">
        <f t="shared" si="7"/>
        <v>20188</v>
      </c>
      <c r="K28">
        <f t="shared" si="7"/>
        <v>20726</v>
      </c>
      <c r="L28">
        <f t="shared" si="7"/>
        <v>21657</v>
      </c>
      <c r="M28">
        <f t="shared" si="7"/>
        <v>23041</v>
      </c>
      <c r="N28">
        <f t="shared" si="7"/>
        <v>22692</v>
      </c>
      <c r="O28">
        <f t="shared" si="7"/>
        <v>21393</v>
      </c>
      <c r="P28">
        <f t="shared" si="7"/>
        <v>20506</v>
      </c>
      <c r="Q28">
        <f t="shared" si="7"/>
        <v>19792</v>
      </c>
      <c r="R28">
        <f t="shared" si="7"/>
        <v>19710</v>
      </c>
    </row>
    <row r="29" spans="2:18" x14ac:dyDescent="0.2">
      <c r="B29" t="s">
        <v>6</v>
      </c>
      <c r="C29" t="s">
        <v>2</v>
      </c>
      <c r="D29">
        <f t="shared" ref="D29:R29" si="8">D9-D19</f>
        <v>19380</v>
      </c>
      <c r="E29">
        <f t="shared" si="8"/>
        <v>19622</v>
      </c>
      <c r="F29">
        <f t="shared" si="8"/>
        <v>19415</v>
      </c>
      <c r="G29">
        <f t="shared" si="8"/>
        <v>20214</v>
      </c>
      <c r="H29">
        <f t="shared" si="8"/>
        <v>20799</v>
      </c>
      <c r="I29">
        <f t="shared" si="8"/>
        <v>19924</v>
      </c>
      <c r="J29">
        <f t="shared" si="8"/>
        <v>19941</v>
      </c>
      <c r="K29">
        <f t="shared" si="8"/>
        <v>20245</v>
      </c>
      <c r="L29">
        <f t="shared" si="8"/>
        <v>20640</v>
      </c>
      <c r="M29">
        <f t="shared" si="8"/>
        <v>21719</v>
      </c>
      <c r="N29">
        <f t="shared" si="8"/>
        <v>22980</v>
      </c>
      <c r="O29">
        <f t="shared" si="8"/>
        <v>22588</v>
      </c>
      <c r="P29">
        <f t="shared" si="8"/>
        <v>21351</v>
      </c>
      <c r="Q29">
        <f t="shared" si="8"/>
        <v>20359</v>
      </c>
      <c r="R29">
        <f t="shared" si="8"/>
        <v>19857</v>
      </c>
    </row>
    <row r="30" spans="2:18" x14ac:dyDescent="0.2">
      <c r="B30" t="s">
        <v>7</v>
      </c>
      <c r="C30" t="s">
        <v>2</v>
      </c>
      <c r="D30">
        <f t="shared" ref="D30:R30" si="9">D10-D20</f>
        <v>19943</v>
      </c>
      <c r="E30">
        <f t="shared" si="9"/>
        <v>19323</v>
      </c>
      <c r="F30">
        <f t="shared" si="9"/>
        <v>19695</v>
      </c>
      <c r="G30">
        <f t="shared" si="9"/>
        <v>19492</v>
      </c>
      <c r="H30">
        <f t="shared" si="9"/>
        <v>20318</v>
      </c>
      <c r="I30">
        <f t="shared" si="9"/>
        <v>20686</v>
      </c>
      <c r="J30">
        <f t="shared" si="9"/>
        <v>20157</v>
      </c>
      <c r="K30">
        <f t="shared" si="9"/>
        <v>20076</v>
      </c>
      <c r="L30">
        <f t="shared" si="9"/>
        <v>20319</v>
      </c>
      <c r="M30">
        <f t="shared" si="9"/>
        <v>20832</v>
      </c>
      <c r="N30">
        <f t="shared" si="9"/>
        <v>21641</v>
      </c>
      <c r="O30">
        <f t="shared" si="9"/>
        <v>22813</v>
      </c>
      <c r="P30">
        <f t="shared" si="9"/>
        <v>22433</v>
      </c>
      <c r="Q30">
        <f t="shared" si="9"/>
        <v>21197</v>
      </c>
      <c r="R30">
        <f t="shared" si="9"/>
        <v>20423</v>
      </c>
    </row>
    <row r="31" spans="2:18" x14ac:dyDescent="0.2">
      <c r="B31" t="s">
        <v>13</v>
      </c>
      <c r="C31" t="s">
        <v>2</v>
      </c>
      <c r="D31">
        <f>SUM(D25:D30)</f>
        <v>118974</v>
      </c>
      <c r="E31">
        <f t="shared" ref="E31:R31" si="10">SUM(E25:E30)</f>
        <v>118477</v>
      </c>
      <c r="F31">
        <f t="shared" si="10"/>
        <v>118767</v>
      </c>
      <c r="G31">
        <f t="shared" si="10"/>
        <v>119376</v>
      </c>
      <c r="H31">
        <f t="shared" si="10"/>
        <v>120686</v>
      </c>
      <c r="I31">
        <f t="shared" si="10"/>
        <v>121183</v>
      </c>
      <c r="J31">
        <f t="shared" si="10"/>
        <v>124546</v>
      </c>
      <c r="K31">
        <f t="shared" si="10"/>
        <v>127862</v>
      </c>
      <c r="L31">
        <f t="shared" si="10"/>
        <v>129816</v>
      </c>
      <c r="M31">
        <f t="shared" si="10"/>
        <v>130478</v>
      </c>
      <c r="N31">
        <f t="shared" si="10"/>
        <v>129435</v>
      </c>
      <c r="O31">
        <f t="shared" si="10"/>
        <v>126897</v>
      </c>
      <c r="P31">
        <f t="shared" si="10"/>
        <v>123633</v>
      </c>
      <c r="Q31">
        <f t="shared" si="10"/>
        <v>120848</v>
      </c>
      <c r="R31">
        <f t="shared" si="10"/>
        <v>119780</v>
      </c>
    </row>
    <row r="32" spans="2:18" x14ac:dyDescent="0.2">
      <c r="D32" s="55">
        <f t="shared" ref="D32:R32" si="11">D31/6</f>
        <v>19829</v>
      </c>
      <c r="E32" s="55">
        <f t="shared" si="11"/>
        <v>19746.166666666668</v>
      </c>
      <c r="F32" s="55">
        <f t="shared" si="11"/>
        <v>19794.5</v>
      </c>
      <c r="G32" s="55">
        <f t="shared" si="11"/>
        <v>19896</v>
      </c>
      <c r="H32" s="55">
        <f t="shared" si="11"/>
        <v>20114.333333333332</v>
      </c>
      <c r="I32" s="55">
        <f t="shared" si="11"/>
        <v>20197.166666666668</v>
      </c>
      <c r="J32" s="55">
        <f t="shared" si="11"/>
        <v>20757.666666666668</v>
      </c>
      <c r="K32" s="55">
        <f t="shared" si="11"/>
        <v>21310.333333333332</v>
      </c>
      <c r="L32" s="55">
        <f t="shared" si="11"/>
        <v>21636</v>
      </c>
      <c r="M32" s="55">
        <f t="shared" si="11"/>
        <v>21746.333333333332</v>
      </c>
      <c r="N32" s="55">
        <f t="shared" si="11"/>
        <v>21572.5</v>
      </c>
      <c r="O32" s="55">
        <f t="shared" si="11"/>
        <v>21149.5</v>
      </c>
      <c r="P32" s="55">
        <f t="shared" si="11"/>
        <v>20605.5</v>
      </c>
      <c r="Q32" s="55">
        <f t="shared" si="11"/>
        <v>20141.333333333332</v>
      </c>
      <c r="R32" s="55">
        <f t="shared" si="11"/>
        <v>19963.333333333332</v>
      </c>
    </row>
  </sheetData>
  <pageMargins left="0.7" right="0.7" top="0.75" bottom="0.75" header="0.3" footer="0.3"/>
  <ignoredErrors>
    <ignoredError sqref="D11:R11 D21:R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1"/>
  <sheetViews>
    <sheetView topLeftCell="B115" workbookViewId="0"/>
  </sheetViews>
  <sheetFormatPr defaultRowHeight="12.75" x14ac:dyDescent="0.2"/>
  <cols>
    <col min="1" max="1" width="4" customWidth="1"/>
    <col min="2" max="2" width="66.140625" customWidth="1"/>
    <col min="3" max="3" width="14.5703125" customWidth="1"/>
    <col min="4" max="4" width="8.7109375" customWidth="1"/>
    <col min="5" max="5" width="4.28515625" customWidth="1"/>
    <col min="6" max="6" width="22.42578125" customWidth="1"/>
    <col min="8" max="8" width="11.140625" customWidth="1"/>
    <col min="9" max="9" width="15.140625" style="6" customWidth="1"/>
    <col min="10" max="10" width="15.28515625" customWidth="1"/>
  </cols>
  <sheetData>
    <row r="1" spans="2:10" x14ac:dyDescent="0.2">
      <c r="B1" t="s">
        <v>212</v>
      </c>
    </row>
    <row r="2" spans="2:10" x14ac:dyDescent="0.2">
      <c r="B2" t="s">
        <v>219</v>
      </c>
      <c r="C2" t="s">
        <v>214</v>
      </c>
      <c r="F2" t="s">
        <v>215</v>
      </c>
    </row>
    <row r="3" spans="2:10" x14ac:dyDescent="0.2">
      <c r="C3" t="s">
        <v>0</v>
      </c>
      <c r="D3">
        <v>2015</v>
      </c>
      <c r="F3" t="s">
        <v>0</v>
      </c>
      <c r="G3">
        <v>2015</v>
      </c>
      <c r="H3" t="s">
        <v>216</v>
      </c>
      <c r="I3" s="6" t="s">
        <v>218</v>
      </c>
      <c r="J3" t="s">
        <v>217</v>
      </c>
    </row>
    <row r="4" spans="2:10" x14ac:dyDescent="0.2">
      <c r="B4" t="s">
        <v>133</v>
      </c>
      <c r="C4" t="s">
        <v>56</v>
      </c>
      <c r="D4">
        <v>2470</v>
      </c>
      <c r="F4" t="s">
        <v>213</v>
      </c>
      <c r="G4">
        <v>391.98</v>
      </c>
      <c r="H4" s="4">
        <f t="shared" ref="H4:H35" si="0">G4*1000000/D4</f>
        <v>158696.35627530364</v>
      </c>
      <c r="I4" s="6">
        <f t="shared" ref="I4:I35" si="1">D4*G4</f>
        <v>968190.60000000009</v>
      </c>
      <c r="J4" s="5">
        <f t="shared" ref="J4:J35" si="2">I4/I$161</f>
        <v>5.3155067943813064E-4</v>
      </c>
    </row>
    <row r="5" spans="2:10" x14ac:dyDescent="0.2">
      <c r="B5" t="s">
        <v>146</v>
      </c>
      <c r="C5" t="s">
        <v>56</v>
      </c>
      <c r="D5">
        <v>1458</v>
      </c>
      <c r="F5" t="s">
        <v>213</v>
      </c>
      <c r="G5">
        <v>179.16</v>
      </c>
      <c r="H5" s="4">
        <f t="shared" si="0"/>
        <v>122880.658436214</v>
      </c>
      <c r="I5" s="6">
        <f t="shared" si="1"/>
        <v>261215.28</v>
      </c>
      <c r="J5" s="5">
        <f t="shared" si="2"/>
        <v>1.4341097668539801E-4</v>
      </c>
    </row>
    <row r="6" spans="2:10" x14ac:dyDescent="0.2">
      <c r="B6" t="s">
        <v>161</v>
      </c>
      <c r="C6" t="s">
        <v>56</v>
      </c>
      <c r="D6">
        <v>86</v>
      </c>
      <c r="F6" t="s">
        <v>213</v>
      </c>
      <c r="G6">
        <v>10.08</v>
      </c>
      <c r="H6" s="4">
        <f t="shared" si="0"/>
        <v>117209.30232558139</v>
      </c>
      <c r="I6" s="6">
        <f t="shared" si="1"/>
        <v>866.88</v>
      </c>
      <c r="J6" s="5">
        <f t="shared" si="2"/>
        <v>4.7592969090107528E-7</v>
      </c>
    </row>
    <row r="7" spans="2:10" x14ac:dyDescent="0.2">
      <c r="B7" t="s">
        <v>64</v>
      </c>
      <c r="C7" t="s">
        <v>56</v>
      </c>
      <c r="D7">
        <v>5542</v>
      </c>
      <c r="F7" t="s">
        <v>213</v>
      </c>
      <c r="G7">
        <v>631.99</v>
      </c>
      <c r="H7" s="4">
        <f t="shared" si="0"/>
        <v>114036.44893540238</v>
      </c>
      <c r="I7" s="6">
        <f t="shared" si="1"/>
        <v>3502488.58</v>
      </c>
      <c r="J7" s="5">
        <f t="shared" si="2"/>
        <v>1.9229170211147403E-3</v>
      </c>
    </row>
    <row r="8" spans="2:10" x14ac:dyDescent="0.2">
      <c r="B8" t="s">
        <v>61</v>
      </c>
      <c r="C8" t="s">
        <v>56</v>
      </c>
      <c r="D8">
        <v>152</v>
      </c>
      <c r="F8" t="s">
        <v>213</v>
      </c>
      <c r="G8">
        <v>16.75</v>
      </c>
      <c r="H8" s="4">
        <f t="shared" si="0"/>
        <v>110197.36842105263</v>
      </c>
      <c r="I8" s="6">
        <f t="shared" si="1"/>
        <v>2546</v>
      </c>
      <c r="J8" s="5">
        <f t="shared" si="2"/>
        <v>1.3977909203513032E-6</v>
      </c>
    </row>
    <row r="9" spans="2:10" x14ac:dyDescent="0.2">
      <c r="B9" t="s">
        <v>65</v>
      </c>
      <c r="C9" t="s">
        <v>56</v>
      </c>
      <c r="D9">
        <v>797</v>
      </c>
      <c r="F9" t="s">
        <v>213</v>
      </c>
      <c r="G9">
        <v>85.87</v>
      </c>
      <c r="H9" s="4">
        <f t="shared" si="0"/>
        <v>107741.53074027604</v>
      </c>
      <c r="I9" s="6">
        <f t="shared" si="1"/>
        <v>68438.39</v>
      </c>
      <c r="J9" s="5">
        <f t="shared" si="2"/>
        <v>3.7573668556740541E-5</v>
      </c>
    </row>
    <row r="10" spans="2:10" x14ac:dyDescent="0.2">
      <c r="B10" t="s">
        <v>151</v>
      </c>
      <c r="C10" t="s">
        <v>56</v>
      </c>
      <c r="D10">
        <v>968</v>
      </c>
      <c r="F10" t="s">
        <v>213</v>
      </c>
      <c r="G10">
        <v>99.99</v>
      </c>
      <c r="H10" s="4">
        <f t="shared" si="0"/>
        <v>103295.45454545454</v>
      </c>
      <c r="I10" s="6">
        <f t="shared" si="1"/>
        <v>96790.319999999992</v>
      </c>
      <c r="J10" s="5">
        <f t="shared" si="2"/>
        <v>5.313928926704522E-5</v>
      </c>
    </row>
    <row r="11" spans="2:10" x14ac:dyDescent="0.2">
      <c r="B11" t="s">
        <v>125</v>
      </c>
      <c r="C11" t="s">
        <v>56</v>
      </c>
      <c r="D11">
        <v>266</v>
      </c>
      <c r="F11" t="s">
        <v>213</v>
      </c>
      <c r="G11">
        <v>25.53</v>
      </c>
      <c r="H11" s="4">
        <f t="shared" si="0"/>
        <v>95977.44360902255</v>
      </c>
      <c r="I11" s="6">
        <f t="shared" si="1"/>
        <v>6790.9800000000005</v>
      </c>
      <c r="J11" s="5">
        <f t="shared" si="2"/>
        <v>3.728346498148976E-6</v>
      </c>
    </row>
    <row r="12" spans="2:10" x14ac:dyDescent="0.2">
      <c r="B12" t="s">
        <v>106</v>
      </c>
      <c r="C12" t="s">
        <v>56</v>
      </c>
      <c r="D12">
        <v>4916</v>
      </c>
      <c r="F12" t="s">
        <v>213</v>
      </c>
      <c r="G12">
        <v>455.43</v>
      </c>
      <c r="H12" s="4">
        <f t="shared" si="0"/>
        <v>92642.392188771366</v>
      </c>
      <c r="I12" s="6">
        <f t="shared" si="1"/>
        <v>2238893.88</v>
      </c>
      <c r="J12" s="5">
        <f t="shared" si="2"/>
        <v>1.2291852070283188E-3</v>
      </c>
    </row>
    <row r="13" spans="2:10" x14ac:dyDescent="0.2">
      <c r="B13" t="s">
        <v>137</v>
      </c>
      <c r="C13" t="s">
        <v>56</v>
      </c>
      <c r="D13">
        <v>1290</v>
      </c>
      <c r="F13" t="s">
        <v>213</v>
      </c>
      <c r="G13">
        <v>117.99</v>
      </c>
      <c r="H13" s="4">
        <f t="shared" si="0"/>
        <v>91465.116279069771</v>
      </c>
      <c r="I13" s="6">
        <f t="shared" si="1"/>
        <v>152207.1</v>
      </c>
      <c r="J13" s="5">
        <f t="shared" si="2"/>
        <v>8.3563905103300413E-5</v>
      </c>
    </row>
    <row r="14" spans="2:10" x14ac:dyDescent="0.2">
      <c r="B14" t="s">
        <v>135</v>
      </c>
      <c r="C14" t="s">
        <v>56</v>
      </c>
      <c r="D14">
        <v>978</v>
      </c>
      <c r="F14" t="s">
        <v>213</v>
      </c>
      <c r="G14">
        <v>89.37</v>
      </c>
      <c r="H14" s="4">
        <f t="shared" si="0"/>
        <v>91380.36809815951</v>
      </c>
      <c r="I14" s="6">
        <f t="shared" si="1"/>
        <v>87403.86</v>
      </c>
      <c r="J14" s="5">
        <f t="shared" si="2"/>
        <v>4.7985986611019813E-5</v>
      </c>
    </row>
    <row r="15" spans="2:10" x14ac:dyDescent="0.2">
      <c r="B15" t="s">
        <v>130</v>
      </c>
      <c r="C15" t="s">
        <v>56</v>
      </c>
      <c r="D15">
        <v>1683</v>
      </c>
      <c r="F15" t="s">
        <v>213</v>
      </c>
      <c r="G15">
        <v>153.06</v>
      </c>
      <c r="H15" s="4">
        <f t="shared" si="0"/>
        <v>90944.741532976826</v>
      </c>
      <c r="I15" s="6">
        <f t="shared" si="1"/>
        <v>257599.98</v>
      </c>
      <c r="J15" s="5">
        <f t="shared" si="2"/>
        <v>1.414261245587892E-4</v>
      </c>
    </row>
    <row r="16" spans="2:10" x14ac:dyDescent="0.2">
      <c r="B16" t="s">
        <v>179</v>
      </c>
      <c r="C16" t="s">
        <v>56</v>
      </c>
      <c r="D16">
        <v>12038</v>
      </c>
      <c r="F16" t="s">
        <v>213</v>
      </c>
      <c r="G16">
        <v>1081.2</v>
      </c>
      <c r="H16" s="4">
        <f t="shared" si="0"/>
        <v>89815.583984050507</v>
      </c>
      <c r="I16" s="6">
        <f t="shared" si="1"/>
        <v>13015485.6</v>
      </c>
      <c r="J16" s="5">
        <f t="shared" si="2"/>
        <v>7.1456903360735003E-3</v>
      </c>
    </row>
    <row r="17" spans="2:10" x14ac:dyDescent="0.2">
      <c r="B17" t="s">
        <v>147</v>
      </c>
      <c r="C17" t="s">
        <v>56</v>
      </c>
      <c r="D17">
        <v>1184</v>
      </c>
      <c r="F17" t="s">
        <v>213</v>
      </c>
      <c r="G17">
        <v>106.07</v>
      </c>
      <c r="H17" s="4">
        <f t="shared" si="0"/>
        <v>89586.148648648654</v>
      </c>
      <c r="I17" s="6">
        <f t="shared" si="1"/>
        <v>125586.87999999999</v>
      </c>
      <c r="J17" s="5">
        <f t="shared" si="2"/>
        <v>6.8949018295070164E-5</v>
      </c>
    </row>
    <row r="18" spans="2:10" x14ac:dyDescent="0.2">
      <c r="B18" t="s">
        <v>111</v>
      </c>
      <c r="C18" t="s">
        <v>56</v>
      </c>
      <c r="D18">
        <v>12524</v>
      </c>
      <c r="F18" t="s">
        <v>213</v>
      </c>
      <c r="G18">
        <v>1118.28</v>
      </c>
      <c r="H18" s="4">
        <f t="shared" si="0"/>
        <v>89290.961354199942</v>
      </c>
      <c r="I18" s="6">
        <f t="shared" si="1"/>
        <v>14005338.719999999</v>
      </c>
      <c r="J18" s="5">
        <f t="shared" si="2"/>
        <v>7.6891340531266847E-3</v>
      </c>
    </row>
    <row r="19" spans="2:10" x14ac:dyDescent="0.2">
      <c r="B19" t="s">
        <v>105</v>
      </c>
      <c r="C19" t="s">
        <v>56</v>
      </c>
      <c r="D19">
        <v>250</v>
      </c>
      <c r="F19" t="s">
        <v>213</v>
      </c>
      <c r="G19">
        <v>21.78</v>
      </c>
      <c r="H19" s="4">
        <f t="shared" si="0"/>
        <v>87120</v>
      </c>
      <c r="I19" s="6">
        <f t="shared" si="1"/>
        <v>5445</v>
      </c>
      <c r="J19" s="5">
        <f t="shared" si="2"/>
        <v>2.9893839596672604E-6</v>
      </c>
    </row>
    <row r="20" spans="2:10" x14ac:dyDescent="0.2">
      <c r="B20" t="s">
        <v>134</v>
      </c>
      <c r="C20" t="s">
        <v>56</v>
      </c>
      <c r="D20">
        <v>1375</v>
      </c>
      <c r="F20" t="s">
        <v>213</v>
      </c>
      <c r="G20">
        <v>116.57</v>
      </c>
      <c r="H20" s="4">
        <f t="shared" si="0"/>
        <v>84778.181818181823</v>
      </c>
      <c r="I20" s="6">
        <f t="shared" si="1"/>
        <v>160283.75</v>
      </c>
      <c r="J20" s="5">
        <f t="shared" si="2"/>
        <v>8.7998103075356715E-5</v>
      </c>
    </row>
    <row r="21" spans="2:10" x14ac:dyDescent="0.2">
      <c r="B21" t="s">
        <v>136</v>
      </c>
      <c r="C21" t="s">
        <v>56</v>
      </c>
      <c r="D21">
        <v>920</v>
      </c>
      <c r="F21" t="s">
        <v>213</v>
      </c>
      <c r="G21">
        <v>77.7</v>
      </c>
      <c r="H21" s="4">
        <f t="shared" si="0"/>
        <v>84456.521739130432</v>
      </c>
      <c r="I21" s="6">
        <f t="shared" si="1"/>
        <v>71484</v>
      </c>
      <c r="J21" s="5">
        <f t="shared" si="2"/>
        <v>3.924575261209448E-5</v>
      </c>
    </row>
    <row r="22" spans="2:10" x14ac:dyDescent="0.2">
      <c r="B22" t="s">
        <v>98</v>
      </c>
      <c r="C22" t="s">
        <v>56</v>
      </c>
      <c r="D22">
        <v>39</v>
      </c>
      <c r="F22" t="s">
        <v>213</v>
      </c>
      <c r="G22">
        <v>3.28</v>
      </c>
      <c r="H22" s="4">
        <f t="shared" si="0"/>
        <v>84102.564102564109</v>
      </c>
      <c r="I22" s="6">
        <f t="shared" si="1"/>
        <v>127.91999999999999</v>
      </c>
      <c r="J22" s="5">
        <f t="shared" si="2"/>
        <v>7.0229935008381262E-8</v>
      </c>
    </row>
    <row r="23" spans="2:10" x14ac:dyDescent="0.2">
      <c r="B23" t="s">
        <v>77</v>
      </c>
      <c r="C23" t="s">
        <v>56</v>
      </c>
      <c r="D23">
        <v>130</v>
      </c>
      <c r="F23" t="s">
        <v>213</v>
      </c>
      <c r="G23">
        <v>10.81</v>
      </c>
      <c r="H23" s="4">
        <f t="shared" si="0"/>
        <v>83153.846153846156</v>
      </c>
      <c r="I23" s="6">
        <f t="shared" si="1"/>
        <v>1405.3</v>
      </c>
      <c r="J23" s="5">
        <f t="shared" si="2"/>
        <v>7.7153007869979818E-7</v>
      </c>
    </row>
    <row r="24" spans="2:10" x14ac:dyDescent="0.2">
      <c r="B24" t="s">
        <v>91</v>
      </c>
      <c r="C24" t="s">
        <v>56</v>
      </c>
      <c r="D24">
        <v>992</v>
      </c>
      <c r="F24" t="s">
        <v>213</v>
      </c>
      <c r="G24">
        <v>78.33</v>
      </c>
      <c r="H24" s="4">
        <f t="shared" si="0"/>
        <v>78961.693548387091</v>
      </c>
      <c r="I24" s="6">
        <f t="shared" si="1"/>
        <v>77703.360000000001</v>
      </c>
      <c r="J24" s="5">
        <f t="shared" si="2"/>
        <v>4.2660271441001032E-5</v>
      </c>
    </row>
    <row r="25" spans="2:10" x14ac:dyDescent="0.2">
      <c r="B25" t="s">
        <v>75</v>
      </c>
      <c r="C25" t="s">
        <v>56</v>
      </c>
      <c r="D25">
        <v>1272</v>
      </c>
      <c r="F25" t="s">
        <v>213</v>
      </c>
      <c r="G25">
        <v>99.55</v>
      </c>
      <c r="H25" s="4">
        <f t="shared" si="0"/>
        <v>78262.578616352199</v>
      </c>
      <c r="I25" s="6">
        <f t="shared" si="1"/>
        <v>126627.59999999999</v>
      </c>
      <c r="J25" s="5">
        <f t="shared" si="2"/>
        <v>6.9520388666880064E-5</v>
      </c>
    </row>
    <row r="26" spans="2:10" x14ac:dyDescent="0.2">
      <c r="B26" t="s">
        <v>76</v>
      </c>
      <c r="C26" t="s">
        <v>56</v>
      </c>
      <c r="D26">
        <v>1059</v>
      </c>
      <c r="F26" t="s">
        <v>213</v>
      </c>
      <c r="G26">
        <v>82.21</v>
      </c>
      <c r="H26" s="4">
        <f t="shared" si="0"/>
        <v>77629.839471199244</v>
      </c>
      <c r="I26" s="6">
        <f t="shared" si="1"/>
        <v>87060.39</v>
      </c>
      <c r="J26" s="5">
        <f t="shared" si="2"/>
        <v>4.7797416600252705E-5</v>
      </c>
    </row>
    <row r="27" spans="2:10" x14ac:dyDescent="0.2">
      <c r="B27" t="s">
        <v>63</v>
      </c>
      <c r="C27" t="s">
        <v>56</v>
      </c>
      <c r="D27">
        <v>4867</v>
      </c>
      <c r="F27" t="s">
        <v>213</v>
      </c>
      <c r="G27">
        <v>377.28</v>
      </c>
      <c r="H27" s="4">
        <f t="shared" si="0"/>
        <v>77517.978220669815</v>
      </c>
      <c r="I27" s="6">
        <f t="shared" si="1"/>
        <v>1836221.7599999998</v>
      </c>
      <c r="J27" s="5">
        <f t="shared" si="2"/>
        <v>1.008112373872541E-3</v>
      </c>
    </row>
    <row r="28" spans="2:10" x14ac:dyDescent="0.2">
      <c r="B28" t="s">
        <v>176</v>
      </c>
      <c r="C28" t="s">
        <v>56</v>
      </c>
      <c r="D28">
        <v>1120</v>
      </c>
      <c r="F28" t="s">
        <v>213</v>
      </c>
      <c r="G28">
        <v>85.18</v>
      </c>
      <c r="H28" s="4">
        <f t="shared" si="0"/>
        <v>76053.571428571435</v>
      </c>
      <c r="I28" s="6">
        <f t="shared" si="1"/>
        <v>95401.600000000006</v>
      </c>
      <c r="J28" s="5">
        <f t="shared" si="2"/>
        <v>5.2376861848777256E-5</v>
      </c>
    </row>
    <row r="29" spans="2:10" x14ac:dyDescent="0.2">
      <c r="B29" t="s">
        <v>78</v>
      </c>
      <c r="C29" t="s">
        <v>56</v>
      </c>
      <c r="D29">
        <v>400</v>
      </c>
      <c r="F29" t="s">
        <v>213</v>
      </c>
      <c r="G29">
        <v>30.25</v>
      </c>
      <c r="H29" s="4">
        <f t="shared" si="0"/>
        <v>75625</v>
      </c>
      <c r="I29" s="6">
        <f t="shared" si="1"/>
        <v>12100</v>
      </c>
      <c r="J29" s="5">
        <f t="shared" si="2"/>
        <v>6.6430754659272455E-6</v>
      </c>
    </row>
    <row r="30" spans="2:10" x14ac:dyDescent="0.2">
      <c r="B30" t="s">
        <v>155</v>
      </c>
      <c r="C30" t="s">
        <v>56</v>
      </c>
      <c r="D30">
        <v>728</v>
      </c>
      <c r="F30" t="s">
        <v>213</v>
      </c>
      <c r="G30">
        <v>54.05</v>
      </c>
      <c r="H30" s="4">
        <f t="shared" si="0"/>
        <v>74244.505494505502</v>
      </c>
      <c r="I30" s="6">
        <f t="shared" si="1"/>
        <v>39348.400000000001</v>
      </c>
      <c r="J30" s="5">
        <f t="shared" si="2"/>
        <v>2.1602842203594351E-5</v>
      </c>
    </row>
    <row r="31" spans="2:10" x14ac:dyDescent="0.2">
      <c r="B31" t="s">
        <v>79</v>
      </c>
      <c r="C31" t="s">
        <v>56</v>
      </c>
      <c r="D31">
        <v>510</v>
      </c>
      <c r="F31" t="s">
        <v>213</v>
      </c>
      <c r="G31">
        <v>37.799999999999997</v>
      </c>
      <c r="H31" s="4">
        <f t="shared" si="0"/>
        <v>74117.647058823524</v>
      </c>
      <c r="I31" s="6">
        <f t="shared" si="1"/>
        <v>19278</v>
      </c>
      <c r="J31" s="5">
        <f t="shared" si="2"/>
        <v>1.0583901556375656E-5</v>
      </c>
    </row>
    <row r="32" spans="2:10" x14ac:dyDescent="0.2">
      <c r="B32" t="s">
        <v>131</v>
      </c>
      <c r="C32" t="s">
        <v>56</v>
      </c>
      <c r="D32">
        <v>1966</v>
      </c>
      <c r="F32" t="s">
        <v>213</v>
      </c>
      <c r="G32">
        <v>145.62</v>
      </c>
      <c r="H32" s="4">
        <f t="shared" si="0"/>
        <v>74069.175991861644</v>
      </c>
      <c r="I32" s="6">
        <f t="shared" si="1"/>
        <v>286288.92</v>
      </c>
      <c r="J32" s="5">
        <f t="shared" si="2"/>
        <v>1.5717676864618246E-4</v>
      </c>
    </row>
    <row r="33" spans="2:10" x14ac:dyDescent="0.2">
      <c r="B33" t="s">
        <v>100</v>
      </c>
      <c r="C33" t="s">
        <v>56</v>
      </c>
      <c r="D33">
        <v>589</v>
      </c>
      <c r="F33" t="s">
        <v>213</v>
      </c>
      <c r="G33">
        <v>43.59</v>
      </c>
      <c r="H33" s="4">
        <f t="shared" si="0"/>
        <v>74006.791171477074</v>
      </c>
      <c r="I33" s="6">
        <f t="shared" si="1"/>
        <v>25674.510000000002</v>
      </c>
      <c r="J33" s="5">
        <f t="shared" si="2"/>
        <v>1.4095678304190391E-5</v>
      </c>
    </row>
    <row r="34" spans="2:10" x14ac:dyDescent="0.2">
      <c r="B34" t="s">
        <v>138</v>
      </c>
      <c r="C34" t="s">
        <v>56</v>
      </c>
      <c r="D34">
        <v>210</v>
      </c>
      <c r="F34" t="s">
        <v>213</v>
      </c>
      <c r="G34">
        <v>15.54</v>
      </c>
      <c r="H34" s="4">
        <f t="shared" si="0"/>
        <v>74000</v>
      </c>
      <c r="I34" s="6">
        <f t="shared" si="1"/>
        <v>3263.3999999999996</v>
      </c>
      <c r="J34" s="5">
        <f t="shared" si="2"/>
        <v>1.7916539235956174E-6</v>
      </c>
    </row>
    <row r="35" spans="2:10" x14ac:dyDescent="0.2">
      <c r="B35" t="s">
        <v>101</v>
      </c>
      <c r="C35" t="s">
        <v>56</v>
      </c>
      <c r="D35">
        <v>33</v>
      </c>
      <c r="F35" t="s">
        <v>213</v>
      </c>
      <c r="G35">
        <v>2.4</v>
      </c>
      <c r="H35" s="4">
        <f t="shared" si="0"/>
        <v>72727.272727272721</v>
      </c>
      <c r="I35" s="6">
        <f t="shared" si="1"/>
        <v>79.2</v>
      </c>
      <c r="J35" s="5">
        <f t="shared" si="2"/>
        <v>4.3481948504251063E-8</v>
      </c>
    </row>
    <row r="36" spans="2:10" x14ac:dyDescent="0.2">
      <c r="B36" t="s">
        <v>102</v>
      </c>
      <c r="C36" t="s">
        <v>56</v>
      </c>
      <c r="D36">
        <v>757</v>
      </c>
      <c r="F36" t="s">
        <v>213</v>
      </c>
      <c r="G36">
        <v>54.85</v>
      </c>
      <c r="H36" s="4">
        <f t="shared" ref="H36:H67" si="3">G36*1000000/D36</f>
        <v>72457.067371202109</v>
      </c>
      <c r="I36" s="6">
        <f t="shared" ref="I36:I67" si="4">D36*G36</f>
        <v>41521.450000000004</v>
      </c>
      <c r="J36" s="5">
        <f t="shared" ref="J36:J67" si="5">I36/I$161</f>
        <v>2.2795878165679742E-5</v>
      </c>
    </row>
    <row r="37" spans="2:10" x14ac:dyDescent="0.2">
      <c r="B37" t="s">
        <v>104</v>
      </c>
      <c r="C37" t="s">
        <v>56</v>
      </c>
      <c r="D37">
        <v>4785</v>
      </c>
      <c r="F37" t="s">
        <v>213</v>
      </c>
      <c r="G37">
        <v>342.35</v>
      </c>
      <c r="H37" s="4">
        <f t="shared" si="3"/>
        <v>71546.499477533958</v>
      </c>
      <c r="I37" s="6">
        <f t="shared" si="4"/>
        <v>1638144.75</v>
      </c>
      <c r="J37" s="5">
        <f t="shared" si="5"/>
        <v>8.9936522300516702E-4</v>
      </c>
    </row>
    <row r="38" spans="2:10" x14ac:dyDescent="0.2">
      <c r="B38" t="s">
        <v>139</v>
      </c>
      <c r="C38" t="s">
        <v>56</v>
      </c>
      <c r="D38">
        <v>543</v>
      </c>
      <c r="F38" t="s">
        <v>213</v>
      </c>
      <c r="G38">
        <v>38.14</v>
      </c>
      <c r="H38" s="4">
        <f t="shared" si="3"/>
        <v>70239.410681399633</v>
      </c>
      <c r="I38" s="6">
        <f t="shared" si="4"/>
        <v>20710.02</v>
      </c>
      <c r="J38" s="5">
        <f t="shared" si="5"/>
        <v>1.1370101302550627E-5</v>
      </c>
    </row>
    <row r="39" spans="2:10" x14ac:dyDescent="0.2">
      <c r="B39" t="s">
        <v>140</v>
      </c>
      <c r="C39" t="s">
        <v>56</v>
      </c>
      <c r="D39">
        <v>1097</v>
      </c>
      <c r="F39" t="s">
        <v>213</v>
      </c>
      <c r="G39">
        <v>76.75</v>
      </c>
      <c r="H39" s="4">
        <f t="shared" si="3"/>
        <v>69963.53691886965</v>
      </c>
      <c r="I39" s="6">
        <f t="shared" si="4"/>
        <v>84194.75</v>
      </c>
      <c r="J39" s="5">
        <f t="shared" si="5"/>
        <v>4.6224138684700656E-5</v>
      </c>
    </row>
    <row r="40" spans="2:10" x14ac:dyDescent="0.2">
      <c r="B40" t="s">
        <v>142</v>
      </c>
      <c r="C40" t="s">
        <v>56</v>
      </c>
      <c r="D40">
        <v>2156</v>
      </c>
      <c r="F40" t="s">
        <v>213</v>
      </c>
      <c r="G40">
        <v>150.55000000000001</v>
      </c>
      <c r="H40" s="4">
        <f t="shared" si="3"/>
        <v>69828.385899814471</v>
      </c>
      <c r="I40" s="6">
        <f t="shared" si="4"/>
        <v>324585.80000000005</v>
      </c>
      <c r="J40" s="5">
        <f t="shared" si="5"/>
        <v>1.7820231112135275E-4</v>
      </c>
    </row>
    <row r="41" spans="2:10" x14ac:dyDescent="0.2">
      <c r="B41" t="s">
        <v>96</v>
      </c>
      <c r="C41" t="s">
        <v>56</v>
      </c>
      <c r="D41">
        <v>400</v>
      </c>
      <c r="F41" t="s">
        <v>213</v>
      </c>
      <c r="G41">
        <v>26.52</v>
      </c>
      <c r="H41" s="4">
        <f t="shared" si="3"/>
        <v>66300</v>
      </c>
      <c r="I41" s="6">
        <f t="shared" si="4"/>
        <v>10608</v>
      </c>
      <c r="J41" s="5">
        <f t="shared" si="5"/>
        <v>5.8239458299633242E-6</v>
      </c>
    </row>
    <row r="42" spans="2:10" x14ac:dyDescent="0.2">
      <c r="B42" t="s">
        <v>159</v>
      </c>
      <c r="C42" t="s">
        <v>56</v>
      </c>
      <c r="D42">
        <v>7648</v>
      </c>
      <c r="F42" t="s">
        <v>213</v>
      </c>
      <c r="G42">
        <v>494.81</v>
      </c>
      <c r="H42" s="4">
        <f t="shared" si="3"/>
        <v>64697.960251046024</v>
      </c>
      <c r="I42" s="6">
        <f t="shared" si="4"/>
        <v>3784306.88</v>
      </c>
      <c r="J42" s="5">
        <f t="shared" si="5"/>
        <v>2.0776393545510479E-3</v>
      </c>
    </row>
    <row r="43" spans="2:10" x14ac:dyDescent="0.2">
      <c r="B43" t="s">
        <v>83</v>
      </c>
      <c r="C43" t="s">
        <v>56</v>
      </c>
      <c r="D43">
        <v>1494</v>
      </c>
      <c r="F43" t="s">
        <v>213</v>
      </c>
      <c r="G43">
        <v>96.51</v>
      </c>
      <c r="H43" s="4">
        <f t="shared" si="3"/>
        <v>64598.393574297188</v>
      </c>
      <c r="I43" s="6">
        <f t="shared" si="4"/>
        <v>144185.94</v>
      </c>
      <c r="J43" s="5">
        <f t="shared" si="5"/>
        <v>7.9160171945922135E-5</v>
      </c>
    </row>
    <row r="44" spans="2:10" x14ac:dyDescent="0.2">
      <c r="B44" t="s">
        <v>97</v>
      </c>
      <c r="C44" t="s">
        <v>56</v>
      </c>
      <c r="D44">
        <v>735</v>
      </c>
      <c r="F44" t="s">
        <v>213</v>
      </c>
      <c r="G44">
        <v>46.66</v>
      </c>
      <c r="H44" s="4">
        <f t="shared" si="3"/>
        <v>63482.993197278913</v>
      </c>
      <c r="I44" s="6">
        <f t="shared" si="4"/>
        <v>34295.1</v>
      </c>
      <c r="J44" s="5">
        <f t="shared" si="5"/>
        <v>1.8828507224092683E-5</v>
      </c>
    </row>
    <row r="45" spans="2:10" x14ac:dyDescent="0.2">
      <c r="B45" t="s">
        <v>95</v>
      </c>
      <c r="C45" t="s">
        <v>56</v>
      </c>
      <c r="D45">
        <v>3408</v>
      </c>
      <c r="F45" t="s">
        <v>213</v>
      </c>
      <c r="G45">
        <v>216.1</v>
      </c>
      <c r="H45" s="4">
        <f t="shared" si="3"/>
        <v>63409.624413145539</v>
      </c>
      <c r="I45" s="6">
        <f t="shared" si="4"/>
        <v>736468.79999999993</v>
      </c>
      <c r="J45" s="5">
        <f t="shared" si="5"/>
        <v>4.0433205096701482E-4</v>
      </c>
    </row>
    <row r="46" spans="2:10" x14ac:dyDescent="0.2">
      <c r="B46" t="s">
        <v>93</v>
      </c>
      <c r="C46" t="s">
        <v>56</v>
      </c>
      <c r="D46">
        <v>728</v>
      </c>
      <c r="F46" t="s">
        <v>213</v>
      </c>
      <c r="G46">
        <v>45.75</v>
      </c>
      <c r="H46" s="4">
        <f t="shared" si="3"/>
        <v>62843.406593406595</v>
      </c>
      <c r="I46" s="6">
        <f t="shared" si="4"/>
        <v>33306</v>
      </c>
      <c r="J46" s="5">
        <f t="shared" si="5"/>
        <v>1.8285476980840731E-5</v>
      </c>
    </row>
    <row r="47" spans="2:10" x14ac:dyDescent="0.2">
      <c r="B47" t="s">
        <v>90</v>
      </c>
      <c r="C47" t="s">
        <v>56</v>
      </c>
      <c r="D47">
        <v>539</v>
      </c>
      <c r="F47" t="s">
        <v>213</v>
      </c>
      <c r="G47">
        <v>33.450000000000003</v>
      </c>
      <c r="H47" s="4">
        <f t="shared" si="3"/>
        <v>62059.369202226349</v>
      </c>
      <c r="I47" s="6">
        <f t="shared" si="4"/>
        <v>18029.550000000003</v>
      </c>
      <c r="J47" s="5">
        <f t="shared" si="5"/>
        <v>9.8984844022073216E-6</v>
      </c>
    </row>
    <row r="48" spans="2:10" x14ac:dyDescent="0.2">
      <c r="B48" t="s">
        <v>169</v>
      </c>
      <c r="C48" t="s">
        <v>56</v>
      </c>
      <c r="D48">
        <v>128</v>
      </c>
      <c r="F48" t="s">
        <v>213</v>
      </c>
      <c r="G48">
        <v>7.93</v>
      </c>
      <c r="H48" s="4">
        <f t="shared" si="3"/>
        <v>61953.125</v>
      </c>
      <c r="I48" s="6">
        <f t="shared" si="4"/>
        <v>1015.04</v>
      </c>
      <c r="J48" s="5">
        <f t="shared" si="5"/>
        <v>5.5727167941609849E-7</v>
      </c>
    </row>
    <row r="49" spans="2:10" x14ac:dyDescent="0.2">
      <c r="B49" t="s">
        <v>187</v>
      </c>
      <c r="C49" t="s">
        <v>56</v>
      </c>
      <c r="D49">
        <v>42397</v>
      </c>
      <c r="F49" t="s">
        <v>213</v>
      </c>
      <c r="G49">
        <v>2617.12</v>
      </c>
      <c r="H49" s="4">
        <f t="shared" si="3"/>
        <v>61728.895912446635</v>
      </c>
      <c r="I49" s="6">
        <f t="shared" si="4"/>
        <v>110958036.64</v>
      </c>
      <c r="J49" s="5">
        <f t="shared" si="5"/>
        <v>6.0917571152945486E-2</v>
      </c>
    </row>
    <row r="50" spans="2:10" x14ac:dyDescent="0.2">
      <c r="B50" t="s">
        <v>80</v>
      </c>
      <c r="C50" t="s">
        <v>56</v>
      </c>
      <c r="D50">
        <v>257</v>
      </c>
      <c r="F50" t="s">
        <v>213</v>
      </c>
      <c r="G50">
        <v>15.47</v>
      </c>
      <c r="H50" s="4">
        <f t="shared" si="3"/>
        <v>60194.552529182882</v>
      </c>
      <c r="I50" s="6">
        <f t="shared" si="4"/>
        <v>3975.79</v>
      </c>
      <c r="J50" s="5">
        <f t="shared" si="5"/>
        <v>2.1827663641883374E-6</v>
      </c>
    </row>
    <row r="51" spans="2:10" x14ac:dyDescent="0.2">
      <c r="B51" t="s">
        <v>109</v>
      </c>
      <c r="C51" t="s">
        <v>56</v>
      </c>
      <c r="D51">
        <v>2265</v>
      </c>
      <c r="F51" t="s">
        <v>213</v>
      </c>
      <c r="G51">
        <v>135.9</v>
      </c>
      <c r="H51" s="4">
        <f t="shared" si="3"/>
        <v>60000</v>
      </c>
      <c r="I51" s="6">
        <f t="shared" si="4"/>
        <v>307813.5</v>
      </c>
      <c r="J51" s="5">
        <f t="shared" si="5"/>
        <v>1.6899407520092532E-4</v>
      </c>
    </row>
    <row r="52" spans="2:10" x14ac:dyDescent="0.2">
      <c r="B52" t="s">
        <v>69</v>
      </c>
      <c r="C52" t="s">
        <v>56</v>
      </c>
      <c r="D52">
        <v>2210</v>
      </c>
      <c r="F52" t="s">
        <v>213</v>
      </c>
      <c r="G52">
        <v>129.31</v>
      </c>
      <c r="H52" s="4">
        <f t="shared" si="3"/>
        <v>58511.312217194572</v>
      </c>
      <c r="I52" s="6">
        <f t="shared" si="4"/>
        <v>285775.09999999998</v>
      </c>
      <c r="J52" s="5">
        <f t="shared" si="5"/>
        <v>1.5689467401511613E-4</v>
      </c>
    </row>
    <row r="53" spans="2:10" x14ac:dyDescent="0.2">
      <c r="B53" t="s">
        <v>143</v>
      </c>
      <c r="C53" t="s">
        <v>56</v>
      </c>
      <c r="D53">
        <v>39404</v>
      </c>
      <c r="F53" t="s">
        <v>213</v>
      </c>
      <c r="G53">
        <v>2303.75</v>
      </c>
      <c r="H53" s="4">
        <f t="shared" si="3"/>
        <v>58464.876662267787</v>
      </c>
      <c r="I53" s="6">
        <f t="shared" si="4"/>
        <v>90776965</v>
      </c>
      <c r="J53" s="5">
        <f t="shared" si="5"/>
        <v>4.9837870170482336E-2</v>
      </c>
    </row>
    <row r="54" spans="2:10" x14ac:dyDescent="0.2">
      <c r="B54" t="s">
        <v>190</v>
      </c>
      <c r="C54" t="s">
        <v>56</v>
      </c>
      <c r="D54">
        <v>30787</v>
      </c>
      <c r="F54" t="s">
        <v>213</v>
      </c>
      <c r="G54">
        <v>1786.93</v>
      </c>
      <c r="H54" s="4">
        <f t="shared" si="3"/>
        <v>58041.705914834187</v>
      </c>
      <c r="I54" s="6">
        <f t="shared" si="4"/>
        <v>55014213.910000004</v>
      </c>
      <c r="J54" s="5">
        <f t="shared" si="5"/>
        <v>3.0203601215106977E-2</v>
      </c>
    </row>
    <row r="55" spans="2:10" x14ac:dyDescent="0.2">
      <c r="B55" t="s">
        <v>108</v>
      </c>
      <c r="C55" t="s">
        <v>56</v>
      </c>
      <c r="D55">
        <v>6166</v>
      </c>
      <c r="F55" t="s">
        <v>213</v>
      </c>
      <c r="G55">
        <v>355.54</v>
      </c>
      <c r="H55" s="4">
        <f t="shared" si="3"/>
        <v>57661.368796626659</v>
      </c>
      <c r="I55" s="6">
        <f t="shared" si="4"/>
        <v>2192259.64</v>
      </c>
      <c r="J55" s="5">
        <f t="shared" si="5"/>
        <v>1.2035823330104542E-3</v>
      </c>
    </row>
    <row r="56" spans="2:10" x14ac:dyDescent="0.2">
      <c r="B56" t="s">
        <v>94</v>
      </c>
      <c r="C56" t="s">
        <v>56</v>
      </c>
      <c r="D56">
        <v>1607</v>
      </c>
      <c r="F56" t="s">
        <v>213</v>
      </c>
      <c r="G56">
        <v>91.64</v>
      </c>
      <c r="H56" s="4">
        <f t="shared" si="3"/>
        <v>57025.513378967022</v>
      </c>
      <c r="I56" s="6">
        <f t="shared" si="4"/>
        <v>147265.48000000001</v>
      </c>
      <c r="J56" s="5">
        <f t="shared" si="5"/>
        <v>8.0850884063305743E-5</v>
      </c>
    </row>
    <row r="57" spans="2:10" x14ac:dyDescent="0.2">
      <c r="B57" t="s">
        <v>99</v>
      </c>
      <c r="C57" t="s">
        <v>56</v>
      </c>
      <c r="D57">
        <v>460</v>
      </c>
      <c r="F57" t="s">
        <v>213</v>
      </c>
      <c r="G57">
        <v>26.17</v>
      </c>
      <c r="H57" s="4">
        <f t="shared" si="3"/>
        <v>56891.304347826088</v>
      </c>
      <c r="I57" s="6">
        <f t="shared" si="4"/>
        <v>12038.2</v>
      </c>
      <c r="J57" s="5">
        <f t="shared" si="5"/>
        <v>6.6091463697458988E-6</v>
      </c>
    </row>
    <row r="58" spans="2:10" x14ac:dyDescent="0.2">
      <c r="B58" t="s">
        <v>89</v>
      </c>
      <c r="C58" t="s">
        <v>56</v>
      </c>
      <c r="D58">
        <v>2844</v>
      </c>
      <c r="F58" t="s">
        <v>213</v>
      </c>
      <c r="G58">
        <v>161.6</v>
      </c>
      <c r="H58" s="4">
        <f t="shared" si="3"/>
        <v>56821.378340365685</v>
      </c>
      <c r="I58" s="6">
        <f t="shared" si="4"/>
        <v>459590.39999999997</v>
      </c>
      <c r="J58" s="5">
        <f t="shared" si="5"/>
        <v>2.523217942657594E-4</v>
      </c>
    </row>
    <row r="59" spans="2:10" x14ac:dyDescent="0.2">
      <c r="B59" t="s">
        <v>84</v>
      </c>
      <c r="C59" t="s">
        <v>56</v>
      </c>
      <c r="D59">
        <v>537</v>
      </c>
      <c r="F59" t="s">
        <v>213</v>
      </c>
      <c r="G59">
        <v>30.45</v>
      </c>
      <c r="H59" s="4">
        <f t="shared" si="3"/>
        <v>56703.910614525143</v>
      </c>
      <c r="I59" s="6">
        <f t="shared" si="4"/>
        <v>16351.65</v>
      </c>
      <c r="J59" s="5">
        <f t="shared" si="5"/>
        <v>8.977292970448698E-6</v>
      </c>
    </row>
    <row r="60" spans="2:10" x14ac:dyDescent="0.2">
      <c r="B60" t="s">
        <v>86</v>
      </c>
      <c r="C60" t="s">
        <v>56</v>
      </c>
      <c r="D60">
        <v>1264</v>
      </c>
      <c r="F60" t="s">
        <v>213</v>
      </c>
      <c r="G60">
        <v>71.010000000000005</v>
      </c>
      <c r="H60" s="4">
        <f t="shared" si="3"/>
        <v>56178.797468354431</v>
      </c>
      <c r="I60" s="6">
        <f t="shared" si="4"/>
        <v>89756.64</v>
      </c>
      <c r="J60" s="5">
        <f t="shared" si="5"/>
        <v>4.9277696949426782E-5</v>
      </c>
    </row>
    <row r="61" spans="2:10" x14ac:dyDescent="0.2">
      <c r="B61" t="s">
        <v>88</v>
      </c>
      <c r="C61" t="s">
        <v>56</v>
      </c>
      <c r="D61">
        <v>2199</v>
      </c>
      <c r="F61" t="s">
        <v>213</v>
      </c>
      <c r="G61">
        <v>123.21</v>
      </c>
      <c r="H61" s="4">
        <f t="shared" si="3"/>
        <v>56030.013642564802</v>
      </c>
      <c r="I61" s="6">
        <f t="shared" si="4"/>
        <v>270938.78999999998</v>
      </c>
      <c r="J61" s="5">
        <f t="shared" si="5"/>
        <v>1.4874932467909206E-4</v>
      </c>
    </row>
    <row r="62" spans="2:10" x14ac:dyDescent="0.2">
      <c r="B62" t="s">
        <v>66</v>
      </c>
      <c r="C62" t="s">
        <v>56</v>
      </c>
      <c r="D62">
        <v>1832</v>
      </c>
      <c r="F62" t="s">
        <v>213</v>
      </c>
      <c r="G62">
        <v>100.14</v>
      </c>
      <c r="H62" s="4">
        <f t="shared" si="3"/>
        <v>54661.572052401745</v>
      </c>
      <c r="I62" s="6">
        <f t="shared" si="4"/>
        <v>183456.48</v>
      </c>
      <c r="J62" s="5">
        <f t="shared" si="5"/>
        <v>1.0072026788044401E-4</v>
      </c>
    </row>
    <row r="63" spans="2:10" x14ac:dyDescent="0.2">
      <c r="B63" t="s">
        <v>85</v>
      </c>
      <c r="C63" t="s">
        <v>56</v>
      </c>
      <c r="D63">
        <v>234</v>
      </c>
      <c r="F63" t="s">
        <v>213</v>
      </c>
      <c r="G63">
        <v>12.77</v>
      </c>
      <c r="H63" s="4">
        <f t="shared" si="3"/>
        <v>54572.64957264957</v>
      </c>
      <c r="I63" s="6">
        <f t="shared" si="4"/>
        <v>2988.18</v>
      </c>
      <c r="J63" s="5">
        <f t="shared" si="5"/>
        <v>1.6405541525433451E-6</v>
      </c>
    </row>
    <row r="64" spans="2:10" x14ac:dyDescent="0.2">
      <c r="B64" t="s">
        <v>103</v>
      </c>
      <c r="C64" t="s">
        <v>56</v>
      </c>
      <c r="D64">
        <v>764</v>
      </c>
      <c r="F64" t="s">
        <v>213</v>
      </c>
      <c r="G64">
        <v>41.59</v>
      </c>
      <c r="H64" s="4">
        <f t="shared" si="3"/>
        <v>54437.172774869112</v>
      </c>
      <c r="I64" s="6">
        <f t="shared" si="4"/>
        <v>31774.760000000002</v>
      </c>
      <c r="J64" s="5">
        <f t="shared" si="5"/>
        <v>1.7444804015845158E-5</v>
      </c>
    </row>
    <row r="65" spans="2:10" x14ac:dyDescent="0.2">
      <c r="B65" t="s">
        <v>87</v>
      </c>
      <c r="C65" t="s">
        <v>56</v>
      </c>
      <c r="D65">
        <v>655</v>
      </c>
      <c r="F65" t="s">
        <v>213</v>
      </c>
      <c r="G65">
        <v>35.6</v>
      </c>
      <c r="H65" s="4">
        <f t="shared" si="3"/>
        <v>54351.145038167939</v>
      </c>
      <c r="I65" s="6">
        <f t="shared" si="4"/>
        <v>23318</v>
      </c>
      <c r="J65" s="5">
        <f t="shared" si="5"/>
        <v>1.2801920141693514E-5</v>
      </c>
    </row>
    <row r="66" spans="2:10" x14ac:dyDescent="0.2">
      <c r="B66" t="s">
        <v>74</v>
      </c>
      <c r="C66" t="s">
        <v>56</v>
      </c>
      <c r="D66">
        <v>583</v>
      </c>
      <c r="F66" t="s">
        <v>213</v>
      </c>
      <c r="G66">
        <v>31.55</v>
      </c>
      <c r="H66" s="4">
        <f t="shared" si="3"/>
        <v>54116.63807890223</v>
      </c>
      <c r="I66" s="6">
        <f t="shared" si="4"/>
        <v>18393.650000000001</v>
      </c>
      <c r="J66" s="5">
        <f t="shared" si="5"/>
        <v>1.0098380582136586E-5</v>
      </c>
    </row>
    <row r="67" spans="2:10" x14ac:dyDescent="0.2">
      <c r="B67" t="s">
        <v>118</v>
      </c>
      <c r="C67" t="s">
        <v>56</v>
      </c>
      <c r="D67">
        <v>608</v>
      </c>
      <c r="F67" t="s">
        <v>213</v>
      </c>
      <c r="G67">
        <v>32.79</v>
      </c>
      <c r="H67" s="4">
        <f t="shared" si="3"/>
        <v>53930.92105263158</v>
      </c>
      <c r="I67" s="6">
        <f t="shared" si="4"/>
        <v>19936.32</v>
      </c>
      <c r="J67" s="5">
        <f t="shared" si="5"/>
        <v>1.0945328782882204E-5</v>
      </c>
    </row>
    <row r="68" spans="2:10" x14ac:dyDescent="0.2">
      <c r="B68" t="s">
        <v>82</v>
      </c>
      <c r="C68" t="s">
        <v>56</v>
      </c>
      <c r="D68">
        <v>3718</v>
      </c>
      <c r="F68" t="s">
        <v>213</v>
      </c>
      <c r="G68">
        <v>200.04</v>
      </c>
      <c r="H68" s="4">
        <f t="shared" ref="H68:H99" si="6">G68*1000000/D68</f>
        <v>53803.119956966111</v>
      </c>
      <c r="I68" s="6">
        <f t="shared" ref="I68:I99" si="7">D68*G68</f>
        <v>743748.72</v>
      </c>
      <c r="J68" s="5">
        <f t="shared" ref="J68:J99" si="8">I68/I$161</f>
        <v>4.0832883261543738E-4</v>
      </c>
    </row>
    <row r="69" spans="2:10" x14ac:dyDescent="0.2">
      <c r="B69" t="s">
        <v>174</v>
      </c>
      <c r="C69" t="s">
        <v>56</v>
      </c>
      <c r="D69">
        <v>6807</v>
      </c>
      <c r="F69" t="s">
        <v>213</v>
      </c>
      <c r="G69">
        <v>361.73</v>
      </c>
      <c r="H69" s="4">
        <f t="shared" si="6"/>
        <v>53140.884383722638</v>
      </c>
      <c r="I69" s="6">
        <f t="shared" si="7"/>
        <v>2462296.1100000003</v>
      </c>
      <c r="J69" s="5">
        <f t="shared" si="8"/>
        <v>1.3518362709247188E-3</v>
      </c>
    </row>
    <row r="70" spans="2:10" x14ac:dyDescent="0.2">
      <c r="B70" t="s">
        <v>120</v>
      </c>
      <c r="C70" t="s">
        <v>56</v>
      </c>
      <c r="D70">
        <v>512</v>
      </c>
      <c r="F70" t="s">
        <v>213</v>
      </c>
      <c r="G70">
        <v>27.15</v>
      </c>
      <c r="H70" s="4">
        <f t="shared" si="6"/>
        <v>53027.34375</v>
      </c>
      <c r="I70" s="6">
        <f t="shared" si="7"/>
        <v>13900.8</v>
      </c>
      <c r="J70" s="5">
        <f t="shared" si="8"/>
        <v>7.6317407798976406E-6</v>
      </c>
    </row>
    <row r="71" spans="2:10" x14ac:dyDescent="0.2">
      <c r="B71" t="s">
        <v>210</v>
      </c>
      <c r="C71" t="s">
        <v>56</v>
      </c>
      <c r="D71">
        <v>3873</v>
      </c>
      <c r="F71" t="s">
        <v>213</v>
      </c>
      <c r="G71">
        <v>200.67</v>
      </c>
      <c r="H71" s="4">
        <f t="shared" si="6"/>
        <v>51812.548412083655</v>
      </c>
      <c r="I71" s="6">
        <f t="shared" si="7"/>
        <v>777194.90999999992</v>
      </c>
      <c r="J71" s="5">
        <f t="shared" si="8"/>
        <v>4.2669127593921764E-4</v>
      </c>
    </row>
    <row r="72" spans="2:10" x14ac:dyDescent="0.2">
      <c r="B72" t="s">
        <v>141</v>
      </c>
      <c r="C72" t="s">
        <v>56</v>
      </c>
      <c r="D72">
        <v>3990</v>
      </c>
      <c r="F72" t="s">
        <v>213</v>
      </c>
      <c r="G72">
        <v>206.47</v>
      </c>
      <c r="H72" s="4">
        <f t="shared" si="6"/>
        <v>51746.867167919801</v>
      </c>
      <c r="I72" s="6">
        <f t="shared" si="7"/>
        <v>823815.3</v>
      </c>
      <c r="J72" s="5">
        <f t="shared" si="8"/>
        <v>4.5228654610623915E-4</v>
      </c>
    </row>
    <row r="73" spans="2:10" x14ac:dyDescent="0.2">
      <c r="B73" t="s">
        <v>127</v>
      </c>
      <c r="C73" t="s">
        <v>56</v>
      </c>
      <c r="D73">
        <v>16</v>
      </c>
      <c r="F73" t="s">
        <v>213</v>
      </c>
      <c r="G73">
        <v>0.82</v>
      </c>
      <c r="H73" s="4">
        <f t="shared" si="6"/>
        <v>51250</v>
      </c>
      <c r="I73" s="6">
        <f t="shared" si="7"/>
        <v>13.12</v>
      </c>
      <c r="J73" s="5">
        <f t="shared" si="8"/>
        <v>7.203070257269873E-9</v>
      </c>
    </row>
    <row r="74" spans="2:10" x14ac:dyDescent="0.2">
      <c r="B74" t="s">
        <v>72</v>
      </c>
      <c r="C74" t="s">
        <v>56</v>
      </c>
      <c r="D74">
        <v>962</v>
      </c>
      <c r="F74" t="s">
        <v>213</v>
      </c>
      <c r="G74">
        <v>49.17</v>
      </c>
      <c r="H74" s="4">
        <f t="shared" si="6"/>
        <v>51112.266112266116</v>
      </c>
      <c r="I74" s="6">
        <f t="shared" si="7"/>
        <v>47301.54</v>
      </c>
      <c r="J74" s="5">
        <f t="shared" si="8"/>
        <v>2.596923139459308E-5</v>
      </c>
    </row>
    <row r="75" spans="2:10" x14ac:dyDescent="0.2">
      <c r="B75" t="s">
        <v>73</v>
      </c>
      <c r="C75" t="s">
        <v>56</v>
      </c>
      <c r="D75">
        <v>1724</v>
      </c>
      <c r="F75" t="s">
        <v>213</v>
      </c>
      <c r="G75">
        <v>88.08</v>
      </c>
      <c r="H75" s="4">
        <f t="shared" si="6"/>
        <v>51090.48723897912</v>
      </c>
      <c r="I75" s="6">
        <f t="shared" si="7"/>
        <v>151849.91999999998</v>
      </c>
      <c r="J75" s="5">
        <f t="shared" si="8"/>
        <v>8.3367808103720242E-5</v>
      </c>
    </row>
    <row r="76" spans="2:10" x14ac:dyDescent="0.2">
      <c r="B76" t="s">
        <v>115</v>
      </c>
      <c r="C76" t="s">
        <v>56</v>
      </c>
      <c r="D76">
        <v>1163</v>
      </c>
      <c r="F76" t="s">
        <v>213</v>
      </c>
      <c r="G76">
        <v>59.38</v>
      </c>
      <c r="H76" s="4">
        <f t="shared" si="6"/>
        <v>51057.609630266554</v>
      </c>
      <c r="I76" s="6">
        <f t="shared" si="7"/>
        <v>69058.94</v>
      </c>
      <c r="J76" s="5">
        <f t="shared" si="8"/>
        <v>3.7914359505532375E-5</v>
      </c>
    </row>
    <row r="77" spans="2:10" x14ac:dyDescent="0.2">
      <c r="B77" t="s">
        <v>81</v>
      </c>
      <c r="C77" t="s">
        <v>56</v>
      </c>
      <c r="D77">
        <v>67</v>
      </c>
      <c r="F77" t="s">
        <v>213</v>
      </c>
      <c r="G77">
        <v>3.36</v>
      </c>
      <c r="H77" s="4">
        <f t="shared" si="6"/>
        <v>50149.253731343284</v>
      </c>
      <c r="I77" s="6">
        <f t="shared" si="7"/>
        <v>225.12</v>
      </c>
      <c r="J77" s="5">
        <f t="shared" si="8"/>
        <v>1.2359414453632576E-7</v>
      </c>
    </row>
    <row r="78" spans="2:10" x14ac:dyDescent="0.2">
      <c r="B78" t="s">
        <v>185</v>
      </c>
      <c r="C78" t="s">
        <v>56</v>
      </c>
      <c r="D78">
        <v>3103</v>
      </c>
      <c r="F78" t="s">
        <v>213</v>
      </c>
      <c r="G78">
        <v>155.37</v>
      </c>
      <c r="H78" s="4">
        <f t="shared" si="6"/>
        <v>50070.899129874313</v>
      </c>
      <c r="I78" s="6">
        <f t="shared" si="7"/>
        <v>482113.11</v>
      </c>
      <c r="J78" s="5">
        <f t="shared" si="8"/>
        <v>2.6468708866470112E-4</v>
      </c>
    </row>
    <row r="79" spans="2:10" x14ac:dyDescent="0.2">
      <c r="B79" t="s">
        <v>163</v>
      </c>
      <c r="C79" t="s">
        <v>56</v>
      </c>
      <c r="D79">
        <v>8021</v>
      </c>
      <c r="F79" t="s">
        <v>213</v>
      </c>
      <c r="G79">
        <v>401.07</v>
      </c>
      <c r="H79" s="4">
        <f t="shared" si="6"/>
        <v>50002.493454681462</v>
      </c>
      <c r="I79" s="6">
        <f t="shared" si="7"/>
        <v>3216982.4699999997</v>
      </c>
      <c r="J79" s="5">
        <f t="shared" si="8"/>
        <v>1.7661700265103331E-3</v>
      </c>
    </row>
    <row r="80" spans="2:10" x14ac:dyDescent="0.2">
      <c r="B80" t="s">
        <v>68</v>
      </c>
      <c r="C80" t="s">
        <v>56</v>
      </c>
      <c r="D80">
        <v>4363</v>
      </c>
      <c r="F80" t="s">
        <v>213</v>
      </c>
      <c r="G80">
        <v>217.89</v>
      </c>
      <c r="H80" s="4">
        <f t="shared" si="6"/>
        <v>49940.407976163187</v>
      </c>
      <c r="I80" s="6">
        <f t="shared" si="7"/>
        <v>950654.07</v>
      </c>
      <c r="J80" s="5">
        <f t="shared" si="8"/>
        <v>5.2192287016536215E-4</v>
      </c>
    </row>
    <row r="81" spans="2:10" x14ac:dyDescent="0.2">
      <c r="B81" t="s">
        <v>160</v>
      </c>
      <c r="C81" t="s">
        <v>56</v>
      </c>
      <c r="D81">
        <v>24753</v>
      </c>
      <c r="F81" t="s">
        <v>213</v>
      </c>
      <c r="G81">
        <v>1223.3499999999999</v>
      </c>
      <c r="H81" s="4">
        <f t="shared" si="6"/>
        <v>49422.292247404352</v>
      </c>
      <c r="I81" s="6">
        <f t="shared" si="7"/>
        <v>30281582.549999997</v>
      </c>
      <c r="J81" s="5">
        <f t="shared" si="8"/>
        <v>1.6625027942756661E-2</v>
      </c>
    </row>
    <row r="82" spans="2:10" x14ac:dyDescent="0.2">
      <c r="B82" t="s">
        <v>71</v>
      </c>
      <c r="C82" t="s">
        <v>56</v>
      </c>
      <c r="D82">
        <v>283</v>
      </c>
      <c r="F82" t="s">
        <v>213</v>
      </c>
      <c r="G82">
        <v>13.83</v>
      </c>
      <c r="H82" s="4">
        <f t="shared" si="6"/>
        <v>48869.257950530038</v>
      </c>
      <c r="I82" s="6">
        <f t="shared" si="7"/>
        <v>3913.89</v>
      </c>
      <c r="J82" s="5">
        <f t="shared" si="8"/>
        <v>2.1487823665568584E-6</v>
      </c>
    </row>
    <row r="83" spans="2:10" x14ac:dyDescent="0.2">
      <c r="B83" t="s">
        <v>152</v>
      </c>
      <c r="C83" t="s">
        <v>56</v>
      </c>
      <c r="D83">
        <v>4847</v>
      </c>
      <c r="F83" t="s">
        <v>213</v>
      </c>
      <c r="G83">
        <v>236.07</v>
      </c>
      <c r="H83" s="4">
        <f t="shared" si="6"/>
        <v>48704.353208170003</v>
      </c>
      <c r="I83" s="6">
        <f t="shared" si="7"/>
        <v>1144231.29</v>
      </c>
      <c r="J83" s="5">
        <f t="shared" si="8"/>
        <v>6.2819957106985814E-4</v>
      </c>
    </row>
    <row r="84" spans="2:10" x14ac:dyDescent="0.2">
      <c r="B84" t="s">
        <v>128</v>
      </c>
      <c r="C84" t="s">
        <v>56</v>
      </c>
      <c r="D84">
        <v>2264</v>
      </c>
      <c r="F84" t="s">
        <v>213</v>
      </c>
      <c r="G84">
        <v>109.28</v>
      </c>
      <c r="H84" s="4">
        <f t="shared" si="6"/>
        <v>48268.551236749117</v>
      </c>
      <c r="I84" s="6">
        <f t="shared" si="7"/>
        <v>247409.92000000001</v>
      </c>
      <c r="J84" s="5">
        <f t="shared" si="8"/>
        <v>1.35831633849506E-4</v>
      </c>
    </row>
    <row r="85" spans="2:10" x14ac:dyDescent="0.2">
      <c r="B85" t="s">
        <v>107</v>
      </c>
      <c r="C85" t="s">
        <v>56</v>
      </c>
      <c r="D85">
        <v>1348</v>
      </c>
      <c r="F85" t="s">
        <v>213</v>
      </c>
      <c r="G85">
        <v>64.930000000000007</v>
      </c>
      <c r="H85" s="4">
        <f t="shared" si="6"/>
        <v>48167.655786350151</v>
      </c>
      <c r="I85" s="6">
        <f t="shared" si="7"/>
        <v>87525.640000000014</v>
      </c>
      <c r="J85" s="5">
        <f t="shared" si="8"/>
        <v>4.805284559699012E-5</v>
      </c>
    </row>
    <row r="86" spans="2:10" x14ac:dyDescent="0.2">
      <c r="B86" t="s">
        <v>168</v>
      </c>
      <c r="C86" t="s">
        <v>56</v>
      </c>
      <c r="D86">
        <v>1456</v>
      </c>
      <c r="F86" t="s">
        <v>213</v>
      </c>
      <c r="G86">
        <v>69.47</v>
      </c>
      <c r="H86" s="4">
        <f t="shared" si="6"/>
        <v>47712.912087912089</v>
      </c>
      <c r="I86" s="6">
        <f t="shared" si="7"/>
        <v>101148.31999999999</v>
      </c>
      <c r="J86" s="5">
        <f t="shared" si="8"/>
        <v>5.5531894463781662E-5</v>
      </c>
    </row>
    <row r="87" spans="2:10" x14ac:dyDescent="0.2">
      <c r="B87" t="s">
        <v>121</v>
      </c>
      <c r="C87" t="s">
        <v>56</v>
      </c>
      <c r="D87">
        <v>730</v>
      </c>
      <c r="F87" t="s">
        <v>213</v>
      </c>
      <c r="G87">
        <v>33.549999999999997</v>
      </c>
      <c r="H87" s="4">
        <f t="shared" si="6"/>
        <v>45958.904109589035</v>
      </c>
      <c r="I87" s="6">
        <f t="shared" si="7"/>
        <v>24491.499999999996</v>
      </c>
      <c r="J87" s="5">
        <f t="shared" si="8"/>
        <v>1.3446188658988191E-5</v>
      </c>
    </row>
    <row r="88" spans="2:10" x14ac:dyDescent="0.2">
      <c r="B88" t="s">
        <v>126</v>
      </c>
      <c r="C88" t="s">
        <v>56</v>
      </c>
      <c r="D88">
        <v>595</v>
      </c>
      <c r="F88" t="s">
        <v>213</v>
      </c>
      <c r="G88">
        <v>27.31</v>
      </c>
      <c r="H88" s="4">
        <f t="shared" si="6"/>
        <v>45899.159663865546</v>
      </c>
      <c r="I88" s="6">
        <f t="shared" si="7"/>
        <v>16249.449999999999</v>
      </c>
      <c r="J88" s="5">
        <f t="shared" si="8"/>
        <v>8.9211836884141715E-6</v>
      </c>
    </row>
    <row r="89" spans="2:10" x14ac:dyDescent="0.2">
      <c r="B89" t="s">
        <v>119</v>
      </c>
      <c r="C89" t="s">
        <v>56</v>
      </c>
      <c r="D89">
        <v>76</v>
      </c>
      <c r="F89" t="s">
        <v>213</v>
      </c>
      <c r="G89">
        <v>3.47</v>
      </c>
      <c r="H89" s="4">
        <f t="shared" si="6"/>
        <v>45657.894736842107</v>
      </c>
      <c r="I89" s="6">
        <f t="shared" si="7"/>
        <v>263.72000000000003</v>
      </c>
      <c r="J89" s="5">
        <f t="shared" si="8"/>
        <v>1.44786104287135E-7</v>
      </c>
    </row>
    <row r="90" spans="2:10" x14ac:dyDescent="0.2">
      <c r="B90" t="s">
        <v>117</v>
      </c>
      <c r="C90" t="s">
        <v>56</v>
      </c>
      <c r="D90">
        <v>626</v>
      </c>
      <c r="F90" t="s">
        <v>213</v>
      </c>
      <c r="G90">
        <v>28.56</v>
      </c>
      <c r="H90" s="4">
        <f t="shared" si="6"/>
        <v>45623.003194888181</v>
      </c>
      <c r="I90" s="6">
        <f t="shared" si="7"/>
        <v>17878.559999999998</v>
      </c>
      <c r="J90" s="5">
        <f t="shared" si="8"/>
        <v>9.815588702653571E-6</v>
      </c>
    </row>
    <row r="91" spans="2:10" x14ac:dyDescent="0.2">
      <c r="B91" t="s">
        <v>92</v>
      </c>
      <c r="C91" t="s">
        <v>56</v>
      </c>
      <c r="D91">
        <v>2601</v>
      </c>
      <c r="F91" t="s">
        <v>213</v>
      </c>
      <c r="G91">
        <v>118.58</v>
      </c>
      <c r="H91" s="4">
        <f t="shared" si="6"/>
        <v>45590.157631680122</v>
      </c>
      <c r="I91" s="6">
        <f t="shared" si="7"/>
        <v>308426.58</v>
      </c>
      <c r="J91" s="5">
        <f t="shared" si="8"/>
        <v>1.6933066501139231E-4</v>
      </c>
    </row>
    <row r="92" spans="2:10" x14ac:dyDescent="0.2">
      <c r="B92" t="s">
        <v>70</v>
      </c>
      <c r="C92" t="s">
        <v>56</v>
      </c>
      <c r="D92">
        <v>2884</v>
      </c>
      <c r="F92" t="s">
        <v>213</v>
      </c>
      <c r="G92">
        <v>127</v>
      </c>
      <c r="H92" s="4">
        <f t="shared" si="6"/>
        <v>44036.06102635229</v>
      </c>
      <c r="I92" s="6">
        <f t="shared" si="7"/>
        <v>366268</v>
      </c>
      <c r="J92" s="5">
        <f t="shared" si="8"/>
        <v>2.0108644336811905E-4</v>
      </c>
    </row>
    <row r="93" spans="2:10" x14ac:dyDescent="0.2">
      <c r="B93" t="s">
        <v>164</v>
      </c>
      <c r="C93" t="s">
        <v>56</v>
      </c>
      <c r="D93">
        <v>11274</v>
      </c>
      <c r="F93" t="s">
        <v>213</v>
      </c>
      <c r="G93">
        <v>496</v>
      </c>
      <c r="H93" s="4">
        <f t="shared" si="6"/>
        <v>43995.03281887529</v>
      </c>
      <c r="I93" s="6">
        <f t="shared" si="7"/>
        <v>5591904</v>
      </c>
      <c r="J93" s="5">
        <f t="shared" si="8"/>
        <v>3.0700363859686307E-3</v>
      </c>
    </row>
    <row r="94" spans="2:10" x14ac:dyDescent="0.2">
      <c r="B94" t="s">
        <v>158</v>
      </c>
      <c r="C94" t="s">
        <v>56</v>
      </c>
      <c r="D94">
        <v>2099</v>
      </c>
      <c r="F94" t="s">
        <v>213</v>
      </c>
      <c r="G94">
        <v>92.06</v>
      </c>
      <c r="H94" s="4">
        <f t="shared" si="6"/>
        <v>43858.980466888992</v>
      </c>
      <c r="I94" s="6">
        <f t="shared" si="7"/>
        <v>193233.94</v>
      </c>
      <c r="J94" s="5">
        <f t="shared" si="8"/>
        <v>1.0608823520648408E-4</v>
      </c>
    </row>
    <row r="95" spans="2:10" x14ac:dyDescent="0.2">
      <c r="B95" t="s">
        <v>170</v>
      </c>
      <c r="C95" t="s">
        <v>56</v>
      </c>
      <c r="D95">
        <v>13807</v>
      </c>
      <c r="F95" t="s">
        <v>213</v>
      </c>
      <c r="G95">
        <v>604.71</v>
      </c>
      <c r="H95" s="4">
        <f t="shared" si="6"/>
        <v>43797.349170710506</v>
      </c>
      <c r="I95" s="6">
        <f t="shared" si="7"/>
        <v>8349230.9700000007</v>
      </c>
      <c r="J95" s="5">
        <f t="shared" si="8"/>
        <v>4.5838488773691692E-3</v>
      </c>
    </row>
    <row r="96" spans="2:10" x14ac:dyDescent="0.2">
      <c r="B96" t="s">
        <v>157</v>
      </c>
      <c r="C96" t="s">
        <v>56</v>
      </c>
      <c r="D96">
        <v>2128</v>
      </c>
      <c r="F96" t="s">
        <v>213</v>
      </c>
      <c r="G96">
        <v>92.11</v>
      </c>
      <c r="H96" s="4">
        <f t="shared" si="6"/>
        <v>43284.774436090229</v>
      </c>
      <c r="I96" s="6">
        <f t="shared" si="7"/>
        <v>196010.08</v>
      </c>
      <c r="J96" s="5">
        <f t="shared" si="8"/>
        <v>1.0761237632416832E-4</v>
      </c>
    </row>
    <row r="97" spans="2:10" x14ac:dyDescent="0.2">
      <c r="B97" t="s">
        <v>172</v>
      </c>
      <c r="C97" t="s">
        <v>56</v>
      </c>
      <c r="D97">
        <v>9109</v>
      </c>
      <c r="F97" t="s">
        <v>213</v>
      </c>
      <c r="G97">
        <v>388.82</v>
      </c>
      <c r="H97" s="4">
        <f t="shared" si="6"/>
        <v>42685.256339883628</v>
      </c>
      <c r="I97" s="6">
        <f t="shared" si="7"/>
        <v>3541761.38</v>
      </c>
      <c r="J97" s="5">
        <f t="shared" si="8"/>
        <v>1.9444783578220352E-3</v>
      </c>
    </row>
    <row r="98" spans="2:10" x14ac:dyDescent="0.2">
      <c r="B98" t="s">
        <v>113</v>
      </c>
      <c r="C98" t="s">
        <v>56</v>
      </c>
      <c r="D98">
        <v>17463</v>
      </c>
      <c r="F98" t="s">
        <v>213</v>
      </c>
      <c r="G98">
        <v>711.77</v>
      </c>
      <c r="H98" s="4">
        <f t="shared" si="6"/>
        <v>40758.747065223615</v>
      </c>
      <c r="I98" s="6">
        <f t="shared" si="7"/>
        <v>12429639.51</v>
      </c>
      <c r="J98" s="5">
        <f t="shared" si="8"/>
        <v>6.8240523371240454E-3</v>
      </c>
    </row>
    <row r="99" spans="2:10" x14ac:dyDescent="0.2">
      <c r="B99" t="s">
        <v>124</v>
      </c>
      <c r="C99" t="s">
        <v>56</v>
      </c>
      <c r="D99">
        <v>992</v>
      </c>
      <c r="F99" t="s">
        <v>213</v>
      </c>
      <c r="G99">
        <v>40.19</v>
      </c>
      <c r="H99" s="4">
        <f t="shared" si="6"/>
        <v>40514.112903225803</v>
      </c>
      <c r="I99" s="6">
        <f t="shared" si="7"/>
        <v>39868.479999999996</v>
      </c>
      <c r="J99" s="5">
        <f t="shared" si="8"/>
        <v>2.1888373665438931E-5</v>
      </c>
    </row>
    <row r="100" spans="2:10" x14ac:dyDescent="0.2">
      <c r="B100" t="s">
        <v>188</v>
      </c>
      <c r="C100" t="s">
        <v>56</v>
      </c>
      <c r="D100">
        <v>10530</v>
      </c>
      <c r="F100" t="s">
        <v>213</v>
      </c>
      <c r="G100">
        <v>417.33</v>
      </c>
      <c r="H100" s="4">
        <f t="shared" ref="H100:H131" si="9">G100*1000000/D100</f>
        <v>39632.478632478633</v>
      </c>
      <c r="I100" s="6">
        <f t="shared" ref="I100:I131" si="10">D100*G100</f>
        <v>4394484.8999999994</v>
      </c>
      <c r="J100" s="5">
        <f t="shared" ref="J100:J131" si="11">I100/I$161</f>
        <v>2.4126359359155159E-3</v>
      </c>
    </row>
    <row r="101" spans="2:10" x14ac:dyDescent="0.2">
      <c r="B101" t="s">
        <v>116</v>
      </c>
      <c r="C101" t="s">
        <v>56</v>
      </c>
      <c r="D101">
        <v>1962</v>
      </c>
      <c r="F101" t="s">
        <v>213</v>
      </c>
      <c r="G101">
        <v>77.5</v>
      </c>
      <c r="H101" s="4">
        <f t="shared" si="9"/>
        <v>39500.509683995922</v>
      </c>
      <c r="I101" s="6">
        <f t="shared" si="10"/>
        <v>152055</v>
      </c>
      <c r="J101" s="5">
        <f t="shared" si="11"/>
        <v>8.348039999765019E-5</v>
      </c>
    </row>
    <row r="102" spans="2:10" x14ac:dyDescent="0.2">
      <c r="B102" t="s">
        <v>153</v>
      </c>
      <c r="C102" t="s">
        <v>56</v>
      </c>
      <c r="D102">
        <v>11883</v>
      </c>
      <c r="F102" t="s">
        <v>213</v>
      </c>
      <c r="G102">
        <v>468.06</v>
      </c>
      <c r="H102" s="4">
        <f t="shared" si="9"/>
        <v>39389.043170916433</v>
      </c>
      <c r="I102" s="6">
        <f t="shared" si="10"/>
        <v>5561956.9800000004</v>
      </c>
      <c r="J102" s="5">
        <f t="shared" si="11"/>
        <v>3.0535950377174213E-3</v>
      </c>
    </row>
    <row r="103" spans="2:10" x14ac:dyDescent="0.2">
      <c r="B103" t="s">
        <v>110</v>
      </c>
      <c r="C103" t="s">
        <v>56</v>
      </c>
      <c r="D103">
        <v>57</v>
      </c>
      <c r="F103" t="s">
        <v>213</v>
      </c>
      <c r="G103">
        <v>2.23</v>
      </c>
      <c r="H103" s="4">
        <f t="shared" si="9"/>
        <v>39122.807017543862</v>
      </c>
      <c r="I103" s="6">
        <f t="shared" si="10"/>
        <v>127.11</v>
      </c>
      <c r="J103" s="5">
        <f t="shared" si="11"/>
        <v>6.9785233262315063E-8</v>
      </c>
    </row>
    <row r="104" spans="2:10" x14ac:dyDescent="0.2">
      <c r="B104" t="s">
        <v>154</v>
      </c>
      <c r="C104" t="s">
        <v>56</v>
      </c>
      <c r="D104">
        <v>2317</v>
      </c>
      <c r="F104" t="s">
        <v>213</v>
      </c>
      <c r="G104">
        <v>89.69</v>
      </c>
      <c r="H104" s="4">
        <f t="shared" si="9"/>
        <v>38709.538195943031</v>
      </c>
      <c r="I104" s="6">
        <f t="shared" si="10"/>
        <v>207811.72999999998</v>
      </c>
      <c r="J104" s="5">
        <f t="shared" si="11"/>
        <v>1.1409165331362784E-4</v>
      </c>
    </row>
    <row r="105" spans="2:10" x14ac:dyDescent="0.2">
      <c r="B105" t="s">
        <v>173</v>
      </c>
      <c r="C105" t="s">
        <v>56</v>
      </c>
      <c r="D105">
        <v>786</v>
      </c>
      <c r="F105" t="s">
        <v>213</v>
      </c>
      <c r="G105">
        <v>30.16</v>
      </c>
      <c r="H105" s="4">
        <f t="shared" si="9"/>
        <v>38371.501272264628</v>
      </c>
      <c r="I105" s="6">
        <f t="shared" si="10"/>
        <v>23705.759999999998</v>
      </c>
      <c r="J105" s="5">
        <f t="shared" si="11"/>
        <v>1.3014806004723922E-5</v>
      </c>
    </row>
    <row r="106" spans="2:10" x14ac:dyDescent="0.2">
      <c r="B106" t="s">
        <v>122</v>
      </c>
      <c r="C106" t="s">
        <v>56</v>
      </c>
      <c r="D106">
        <v>16455</v>
      </c>
      <c r="F106" t="s">
        <v>213</v>
      </c>
      <c r="G106">
        <v>627.63</v>
      </c>
      <c r="H106" s="4">
        <f t="shared" si="9"/>
        <v>38142.206016408389</v>
      </c>
      <c r="I106" s="6">
        <f t="shared" si="10"/>
        <v>10327651.65</v>
      </c>
      <c r="J106" s="5">
        <f t="shared" si="11"/>
        <v>5.6700305203932263E-3</v>
      </c>
    </row>
    <row r="107" spans="2:10" x14ac:dyDescent="0.2">
      <c r="B107" t="s">
        <v>175</v>
      </c>
      <c r="C107" t="s">
        <v>56</v>
      </c>
      <c r="D107">
        <v>6316</v>
      </c>
      <c r="F107" t="s">
        <v>213</v>
      </c>
      <c r="G107">
        <v>239.18</v>
      </c>
      <c r="H107" s="4">
        <f t="shared" si="9"/>
        <v>37868.904369854339</v>
      </c>
      <c r="I107" s="6">
        <f t="shared" si="10"/>
        <v>1510660.8800000001</v>
      </c>
      <c r="J107" s="5">
        <f t="shared" si="11"/>
        <v>8.2937472969124495E-4</v>
      </c>
    </row>
    <row r="108" spans="2:10" x14ac:dyDescent="0.2">
      <c r="B108" t="s">
        <v>148</v>
      </c>
      <c r="C108" t="s">
        <v>56</v>
      </c>
      <c r="D108">
        <v>27793</v>
      </c>
      <c r="F108" t="s">
        <v>213</v>
      </c>
      <c r="G108">
        <v>1049.42</v>
      </c>
      <c r="H108" s="4">
        <f t="shared" si="9"/>
        <v>37758.428381247082</v>
      </c>
      <c r="I108" s="6">
        <f t="shared" si="10"/>
        <v>29166530.060000002</v>
      </c>
      <c r="J108" s="5">
        <f t="shared" si="11"/>
        <v>1.6012847956017814E-2</v>
      </c>
    </row>
    <row r="109" spans="2:10" x14ac:dyDescent="0.2">
      <c r="B109" t="s">
        <v>183</v>
      </c>
      <c r="C109" t="s">
        <v>56</v>
      </c>
      <c r="D109">
        <v>290</v>
      </c>
      <c r="F109" t="s">
        <v>213</v>
      </c>
      <c r="G109">
        <v>10.33</v>
      </c>
      <c r="H109" s="4">
        <f t="shared" si="9"/>
        <v>35620.689655172413</v>
      </c>
      <c r="I109" s="6">
        <f t="shared" si="10"/>
        <v>2995.7</v>
      </c>
      <c r="J109" s="5">
        <f t="shared" si="11"/>
        <v>1.6446827415932437E-6</v>
      </c>
    </row>
    <row r="110" spans="2:10" x14ac:dyDescent="0.2">
      <c r="B110" t="s">
        <v>123</v>
      </c>
      <c r="C110" t="s">
        <v>56</v>
      </c>
      <c r="D110">
        <v>2775</v>
      </c>
      <c r="F110" t="s">
        <v>213</v>
      </c>
      <c r="G110">
        <v>97.93</v>
      </c>
      <c r="H110" s="4">
        <f t="shared" si="9"/>
        <v>35290.090090090089</v>
      </c>
      <c r="I110" s="6">
        <f t="shared" si="10"/>
        <v>271755.75</v>
      </c>
      <c r="J110" s="5">
        <f t="shared" si="11"/>
        <v>1.4919784756608744E-4</v>
      </c>
    </row>
    <row r="111" spans="2:10" x14ac:dyDescent="0.2">
      <c r="B111" t="s">
        <v>114</v>
      </c>
      <c r="C111" t="s">
        <v>56</v>
      </c>
      <c r="D111">
        <v>1773</v>
      </c>
      <c r="F111" t="s">
        <v>213</v>
      </c>
      <c r="G111">
        <v>62.31</v>
      </c>
      <c r="H111" s="4">
        <f t="shared" si="9"/>
        <v>35143.824027072755</v>
      </c>
      <c r="I111" s="6">
        <f t="shared" si="10"/>
        <v>110475.63</v>
      </c>
      <c r="J111" s="5">
        <f t="shared" si="11"/>
        <v>6.0652722912054215E-5</v>
      </c>
    </row>
    <row r="112" spans="2:10" x14ac:dyDescent="0.2">
      <c r="B112" t="s">
        <v>189</v>
      </c>
      <c r="C112" t="s">
        <v>56</v>
      </c>
      <c r="D112">
        <v>9889</v>
      </c>
      <c r="F112" t="s">
        <v>213</v>
      </c>
      <c r="G112">
        <v>338.67</v>
      </c>
      <c r="H112" s="4">
        <f t="shared" si="9"/>
        <v>34247.143290524822</v>
      </c>
      <c r="I112" s="6">
        <f t="shared" si="10"/>
        <v>3349107.6300000004</v>
      </c>
      <c r="J112" s="5">
        <f t="shared" si="11"/>
        <v>1.83870865533907E-3</v>
      </c>
    </row>
    <row r="113" spans="2:10" x14ac:dyDescent="0.2">
      <c r="B113" t="s">
        <v>149</v>
      </c>
      <c r="C113" t="s">
        <v>56</v>
      </c>
      <c r="D113">
        <v>5758</v>
      </c>
      <c r="F113" t="s">
        <v>213</v>
      </c>
      <c r="G113">
        <v>196.01</v>
      </c>
      <c r="H113" s="4">
        <f t="shared" si="9"/>
        <v>34041.333796457104</v>
      </c>
      <c r="I113" s="6">
        <f t="shared" si="10"/>
        <v>1128625.5799999998</v>
      </c>
      <c r="J113" s="5">
        <f t="shared" si="11"/>
        <v>6.1963180997652123E-4</v>
      </c>
    </row>
    <row r="114" spans="2:10" x14ac:dyDescent="0.2">
      <c r="B114" t="s">
        <v>199</v>
      </c>
      <c r="C114" t="s">
        <v>56</v>
      </c>
      <c r="D114">
        <v>29906</v>
      </c>
      <c r="F114" t="s">
        <v>213</v>
      </c>
      <c r="G114">
        <v>1010.81</v>
      </c>
      <c r="H114" s="4">
        <f t="shared" si="9"/>
        <v>33799.57199224236</v>
      </c>
      <c r="I114" s="6">
        <f t="shared" si="10"/>
        <v>30229283.859999999</v>
      </c>
      <c r="J114" s="5">
        <f t="shared" si="11"/>
        <v>1.6596315203546815E-2</v>
      </c>
    </row>
    <row r="115" spans="2:10" x14ac:dyDescent="0.2">
      <c r="B115" t="s">
        <v>132</v>
      </c>
      <c r="C115" t="s">
        <v>56</v>
      </c>
      <c r="D115">
        <v>2035</v>
      </c>
      <c r="F115" t="s">
        <v>213</v>
      </c>
      <c r="G115">
        <v>68.599999999999994</v>
      </c>
      <c r="H115" s="4">
        <f t="shared" si="9"/>
        <v>33710.07371007371</v>
      </c>
      <c r="I115" s="6">
        <f t="shared" si="10"/>
        <v>139601</v>
      </c>
      <c r="J115" s="5">
        <f t="shared" si="11"/>
        <v>7.6642973398256979E-5</v>
      </c>
    </row>
    <row r="116" spans="2:10" x14ac:dyDescent="0.2">
      <c r="B116" t="s">
        <v>180</v>
      </c>
      <c r="C116" t="s">
        <v>56</v>
      </c>
      <c r="D116">
        <v>10526</v>
      </c>
      <c r="F116" t="s">
        <v>213</v>
      </c>
      <c r="G116">
        <v>353.62</v>
      </c>
      <c r="H116" s="4">
        <f t="shared" si="9"/>
        <v>33594.907847235416</v>
      </c>
      <c r="I116" s="6">
        <f t="shared" si="10"/>
        <v>3722204.12</v>
      </c>
      <c r="J116" s="5">
        <f t="shared" si="11"/>
        <v>2.0435440387392822E-3</v>
      </c>
    </row>
    <row r="117" spans="2:10" x14ac:dyDescent="0.2">
      <c r="B117" t="s">
        <v>129</v>
      </c>
      <c r="C117" t="s">
        <v>56</v>
      </c>
      <c r="D117">
        <v>1709</v>
      </c>
      <c r="F117" t="s">
        <v>213</v>
      </c>
      <c r="G117">
        <v>57.22</v>
      </c>
      <c r="H117" s="4">
        <f t="shared" si="9"/>
        <v>33481.568168519603</v>
      </c>
      <c r="I117" s="6">
        <f t="shared" si="10"/>
        <v>97788.98</v>
      </c>
      <c r="J117" s="5">
        <f t="shared" si="11"/>
        <v>5.3687568088929762E-5</v>
      </c>
    </row>
    <row r="118" spans="2:10" x14ac:dyDescent="0.2">
      <c r="B118" t="s">
        <v>177</v>
      </c>
      <c r="C118" t="s">
        <v>56</v>
      </c>
      <c r="D118">
        <v>2001</v>
      </c>
      <c r="F118" t="s">
        <v>213</v>
      </c>
      <c r="G118">
        <v>66.44</v>
      </c>
      <c r="H118" s="4">
        <f t="shared" si="9"/>
        <v>33203.398300849578</v>
      </c>
      <c r="I118" s="6">
        <f t="shared" si="10"/>
        <v>132946.44</v>
      </c>
      <c r="J118" s="5">
        <f t="shared" si="11"/>
        <v>7.2989523458377571E-5</v>
      </c>
    </row>
    <row r="119" spans="2:10" x14ac:dyDescent="0.2">
      <c r="B119" t="s">
        <v>67</v>
      </c>
      <c r="C119" t="s">
        <v>56</v>
      </c>
      <c r="D119">
        <v>90877</v>
      </c>
      <c r="F119" t="s">
        <v>213</v>
      </c>
      <c r="G119">
        <v>3002.82</v>
      </c>
      <c r="H119" s="4">
        <f t="shared" si="9"/>
        <v>33042.68406747582</v>
      </c>
      <c r="I119" s="6">
        <f t="shared" si="10"/>
        <v>272887273.13999999</v>
      </c>
      <c r="J119" s="5">
        <f t="shared" si="11"/>
        <v>0.14981907017852239</v>
      </c>
    </row>
    <row r="120" spans="2:10" x14ac:dyDescent="0.2">
      <c r="B120" t="s">
        <v>202</v>
      </c>
      <c r="C120" t="s">
        <v>56</v>
      </c>
      <c r="D120">
        <v>796</v>
      </c>
      <c r="F120" t="s">
        <v>213</v>
      </c>
      <c r="G120">
        <v>26.05</v>
      </c>
      <c r="H120" s="4">
        <f t="shared" si="9"/>
        <v>32726.130653266333</v>
      </c>
      <c r="I120" s="6">
        <f t="shared" si="10"/>
        <v>20735.8</v>
      </c>
      <c r="J120" s="5">
        <f t="shared" si="11"/>
        <v>1.1384254896394561E-5</v>
      </c>
    </row>
    <row r="121" spans="2:10" x14ac:dyDescent="0.2">
      <c r="B121" t="s">
        <v>191</v>
      </c>
      <c r="C121" t="s">
        <v>56</v>
      </c>
      <c r="D121">
        <v>26165</v>
      </c>
      <c r="F121" t="s">
        <v>213</v>
      </c>
      <c r="G121">
        <v>812.15</v>
      </c>
      <c r="H121" s="4">
        <f t="shared" si="9"/>
        <v>31039.556659659851</v>
      </c>
      <c r="I121" s="6">
        <f t="shared" si="10"/>
        <v>21249904.75</v>
      </c>
      <c r="J121" s="5">
        <f t="shared" si="11"/>
        <v>1.1666505859340152E-2</v>
      </c>
    </row>
    <row r="122" spans="2:10" x14ac:dyDescent="0.2">
      <c r="B122" t="s">
        <v>60</v>
      </c>
      <c r="C122" t="s">
        <v>56</v>
      </c>
      <c r="D122">
        <v>804</v>
      </c>
      <c r="F122" t="s">
        <v>213</v>
      </c>
      <c r="G122">
        <v>24.74</v>
      </c>
      <c r="H122" s="4">
        <f t="shared" si="9"/>
        <v>30771.144278606964</v>
      </c>
      <c r="I122" s="6">
        <f t="shared" si="10"/>
        <v>19890.96</v>
      </c>
      <c r="J122" s="5">
        <f t="shared" si="11"/>
        <v>1.0920425485102496E-5</v>
      </c>
    </row>
    <row r="123" spans="2:10" x14ac:dyDescent="0.2">
      <c r="B123" t="s">
        <v>112</v>
      </c>
      <c r="C123" t="s">
        <v>56</v>
      </c>
      <c r="D123">
        <v>108</v>
      </c>
      <c r="F123" t="s">
        <v>213</v>
      </c>
      <c r="G123">
        <v>3.29</v>
      </c>
      <c r="H123" s="4">
        <f t="shared" si="9"/>
        <v>30462.962962962964</v>
      </c>
      <c r="I123" s="6">
        <f t="shared" si="10"/>
        <v>355.32</v>
      </c>
      <c r="J123" s="5">
        <f t="shared" si="11"/>
        <v>1.9507583260770817E-7</v>
      </c>
    </row>
    <row r="124" spans="2:10" x14ac:dyDescent="0.2">
      <c r="B124" t="s">
        <v>209</v>
      </c>
      <c r="C124" t="s">
        <v>56</v>
      </c>
      <c r="D124">
        <v>25383</v>
      </c>
      <c r="F124" t="s">
        <v>213</v>
      </c>
      <c r="G124">
        <v>755.12</v>
      </c>
      <c r="H124" s="4">
        <f t="shared" si="9"/>
        <v>29749.044636173818</v>
      </c>
      <c r="I124" s="6">
        <f t="shared" si="10"/>
        <v>19167210.960000001</v>
      </c>
      <c r="J124" s="5">
        <f t="shared" si="11"/>
        <v>1.0523076766828746E-2</v>
      </c>
    </row>
    <row r="125" spans="2:10" x14ac:dyDescent="0.2">
      <c r="B125" t="s">
        <v>62</v>
      </c>
      <c r="C125" t="s">
        <v>56</v>
      </c>
      <c r="D125">
        <v>693</v>
      </c>
      <c r="F125" t="s">
        <v>213</v>
      </c>
      <c r="G125">
        <v>19.850000000000001</v>
      </c>
      <c r="H125" s="4">
        <f t="shared" si="9"/>
        <v>28643.578643578643</v>
      </c>
      <c r="I125" s="6">
        <f t="shared" si="10"/>
        <v>13756.050000000001</v>
      </c>
      <c r="J125" s="5">
        <f t="shared" si="11"/>
        <v>7.5522709308321073E-6</v>
      </c>
    </row>
    <row r="126" spans="2:10" x14ac:dyDescent="0.2">
      <c r="B126" t="s">
        <v>203</v>
      </c>
      <c r="C126" t="s">
        <v>56</v>
      </c>
      <c r="D126">
        <v>3831</v>
      </c>
      <c r="F126" t="s">
        <v>213</v>
      </c>
      <c r="G126">
        <v>106.87</v>
      </c>
      <c r="H126" s="4">
        <f t="shared" si="9"/>
        <v>27896.11067606369</v>
      </c>
      <c r="I126" s="6">
        <f t="shared" si="10"/>
        <v>409418.97000000003</v>
      </c>
      <c r="J126" s="5">
        <f t="shared" si="11"/>
        <v>2.2477695164398374E-4</v>
      </c>
    </row>
    <row r="127" spans="2:10" x14ac:dyDescent="0.2">
      <c r="B127" t="s">
        <v>186</v>
      </c>
      <c r="C127" t="s">
        <v>56</v>
      </c>
      <c r="D127">
        <v>26802</v>
      </c>
      <c r="F127" t="s">
        <v>213</v>
      </c>
      <c r="G127">
        <v>742.71</v>
      </c>
      <c r="H127" s="4">
        <f t="shared" si="9"/>
        <v>27710.991717036042</v>
      </c>
      <c r="I127" s="6">
        <f t="shared" si="10"/>
        <v>19906113.420000002</v>
      </c>
      <c r="J127" s="5">
        <f t="shared" si="11"/>
        <v>1.0928744932427034E-2</v>
      </c>
    </row>
    <row r="128" spans="2:10" x14ac:dyDescent="0.2">
      <c r="B128" t="s">
        <v>167</v>
      </c>
      <c r="C128" t="s">
        <v>56</v>
      </c>
      <c r="D128">
        <v>2742</v>
      </c>
      <c r="F128" t="s">
        <v>213</v>
      </c>
      <c r="G128">
        <v>75.08</v>
      </c>
      <c r="H128" s="4">
        <f t="shared" si="9"/>
        <v>27381.473377097009</v>
      </c>
      <c r="I128" s="6">
        <f t="shared" si="10"/>
        <v>205869.36</v>
      </c>
      <c r="J128" s="5">
        <f t="shared" si="11"/>
        <v>1.130252640167061E-4</v>
      </c>
    </row>
    <row r="129" spans="2:10" x14ac:dyDescent="0.2">
      <c r="B129" t="s">
        <v>166</v>
      </c>
      <c r="C129" t="s">
        <v>56</v>
      </c>
      <c r="D129">
        <v>1953</v>
      </c>
      <c r="F129" t="s">
        <v>213</v>
      </c>
      <c r="G129">
        <v>53.43</v>
      </c>
      <c r="H129" s="4">
        <f t="shared" si="9"/>
        <v>27357.910906298002</v>
      </c>
      <c r="I129" s="6">
        <f t="shared" si="10"/>
        <v>104348.79</v>
      </c>
      <c r="J129" s="5">
        <f t="shared" si="11"/>
        <v>5.7288998904809445E-5</v>
      </c>
    </row>
    <row r="130" spans="2:10" x14ac:dyDescent="0.2">
      <c r="B130" t="s">
        <v>197</v>
      </c>
      <c r="C130" t="s">
        <v>56</v>
      </c>
      <c r="D130">
        <v>397</v>
      </c>
      <c r="F130" t="s">
        <v>213</v>
      </c>
      <c r="G130">
        <v>10.64</v>
      </c>
      <c r="H130" s="4">
        <f t="shared" si="9"/>
        <v>26801.007556675064</v>
      </c>
      <c r="I130" s="6">
        <f t="shared" si="10"/>
        <v>4224.08</v>
      </c>
      <c r="J130" s="5">
        <f t="shared" si="11"/>
        <v>2.3190811747201619E-6</v>
      </c>
    </row>
    <row r="131" spans="2:10" x14ac:dyDescent="0.2">
      <c r="B131" t="s">
        <v>58</v>
      </c>
      <c r="C131" t="s">
        <v>56</v>
      </c>
      <c r="D131">
        <v>7031</v>
      </c>
      <c r="F131" t="s">
        <v>213</v>
      </c>
      <c r="G131">
        <v>182.81</v>
      </c>
      <c r="H131" s="4">
        <f t="shared" si="9"/>
        <v>26000.56890911677</v>
      </c>
      <c r="I131" s="6">
        <f t="shared" si="10"/>
        <v>1285337.1100000001</v>
      </c>
      <c r="J131" s="5">
        <f t="shared" si="11"/>
        <v>7.0566871246998601E-4</v>
      </c>
    </row>
    <row r="132" spans="2:10" x14ac:dyDescent="0.2">
      <c r="B132" t="s">
        <v>144</v>
      </c>
      <c r="C132" t="s">
        <v>56</v>
      </c>
      <c r="D132">
        <v>173307</v>
      </c>
      <c r="F132" t="s">
        <v>213</v>
      </c>
      <c r="G132">
        <v>4404.07</v>
      </c>
      <c r="H132" s="4">
        <f t="shared" ref="H132:H159" si="12">G132*1000000/D132</f>
        <v>25411.956816516355</v>
      </c>
      <c r="I132" s="6">
        <f t="shared" ref="I132:I159" si="13">D132*G132</f>
        <v>763256159.48999989</v>
      </c>
      <c r="J132" s="5">
        <f t="shared" ref="J132:J159" si="14">I132/I$161</f>
        <v>0.4190386997789976</v>
      </c>
    </row>
    <row r="133" spans="2:10" x14ac:dyDescent="0.2">
      <c r="B133" t="s">
        <v>156</v>
      </c>
      <c r="C133" t="s">
        <v>56</v>
      </c>
      <c r="D133">
        <v>1360</v>
      </c>
      <c r="F133" t="s">
        <v>213</v>
      </c>
      <c r="G133">
        <v>34.51</v>
      </c>
      <c r="H133" s="4">
        <f t="shared" si="12"/>
        <v>25375</v>
      </c>
      <c r="I133" s="6">
        <f t="shared" si="13"/>
        <v>46933.599999999999</v>
      </c>
      <c r="J133" s="5">
        <f t="shared" si="14"/>
        <v>2.576722699897876E-5</v>
      </c>
    </row>
    <row r="134" spans="2:10" x14ac:dyDescent="0.2">
      <c r="B134" t="s">
        <v>171</v>
      </c>
      <c r="C134" t="s">
        <v>56</v>
      </c>
      <c r="D134">
        <v>10495</v>
      </c>
      <c r="F134" t="s">
        <v>213</v>
      </c>
      <c r="G134">
        <v>255.14</v>
      </c>
      <c r="H134" s="4">
        <f t="shared" si="12"/>
        <v>24310.624106717485</v>
      </c>
      <c r="I134" s="6">
        <f t="shared" si="13"/>
        <v>2677694.2999999998</v>
      </c>
      <c r="J134" s="5">
        <f t="shared" si="14"/>
        <v>1.4700930007920023E-3</v>
      </c>
    </row>
    <row r="135" spans="2:10" x14ac:dyDescent="0.2">
      <c r="B135" t="s">
        <v>145</v>
      </c>
      <c r="C135" t="s">
        <v>56</v>
      </c>
      <c r="D135">
        <v>532</v>
      </c>
      <c r="F135" t="s">
        <v>213</v>
      </c>
      <c r="G135">
        <v>12.86</v>
      </c>
      <c r="H135" s="4">
        <f t="shared" si="12"/>
        <v>24172.932330827069</v>
      </c>
      <c r="I135" s="6">
        <f t="shared" si="13"/>
        <v>6841.5199999999995</v>
      </c>
      <c r="J135" s="5">
        <f t="shared" si="14"/>
        <v>3.7560936910455013E-6</v>
      </c>
    </row>
    <row r="136" spans="2:10" x14ac:dyDescent="0.2">
      <c r="B136" t="s">
        <v>198</v>
      </c>
      <c r="C136" t="s">
        <v>56</v>
      </c>
      <c r="D136">
        <v>12928</v>
      </c>
      <c r="F136" t="s">
        <v>213</v>
      </c>
      <c r="G136">
        <v>289.88</v>
      </c>
      <c r="H136" s="4">
        <f t="shared" si="12"/>
        <v>22422.648514851484</v>
      </c>
      <c r="I136" s="6">
        <f t="shared" si="13"/>
        <v>3747568.64</v>
      </c>
      <c r="J136" s="5">
        <f t="shared" si="14"/>
        <v>2.0574695280382096E-3</v>
      </c>
    </row>
    <row r="137" spans="2:10" x14ac:dyDescent="0.2">
      <c r="B137" t="s">
        <v>181</v>
      </c>
      <c r="C137" t="s">
        <v>56</v>
      </c>
      <c r="D137">
        <v>37016</v>
      </c>
      <c r="F137" t="s">
        <v>213</v>
      </c>
      <c r="G137">
        <v>780.11</v>
      </c>
      <c r="H137" s="4">
        <f t="shared" si="12"/>
        <v>21074.940566241625</v>
      </c>
      <c r="I137" s="6">
        <f t="shared" si="13"/>
        <v>28876551.760000002</v>
      </c>
      <c r="J137" s="5">
        <f t="shared" si="14"/>
        <v>1.5853645664250765E-2</v>
      </c>
    </row>
    <row r="138" spans="2:10" x14ac:dyDescent="0.2">
      <c r="B138" t="s">
        <v>182</v>
      </c>
      <c r="C138" t="s">
        <v>56</v>
      </c>
      <c r="D138">
        <v>18208</v>
      </c>
      <c r="F138" t="s">
        <v>213</v>
      </c>
      <c r="G138">
        <v>380.81</v>
      </c>
      <c r="H138" s="4">
        <f t="shared" si="12"/>
        <v>20914.433216168716</v>
      </c>
      <c r="I138" s="6">
        <f t="shared" si="13"/>
        <v>6933788.4800000004</v>
      </c>
      <c r="J138" s="5">
        <f t="shared" si="14"/>
        <v>3.8067504245799149E-3</v>
      </c>
    </row>
    <row r="139" spans="2:10" x14ac:dyDescent="0.2">
      <c r="B139" t="s">
        <v>178</v>
      </c>
      <c r="C139" t="s">
        <v>56</v>
      </c>
      <c r="D139">
        <v>6572</v>
      </c>
      <c r="F139" t="s">
        <v>213</v>
      </c>
      <c r="G139">
        <v>136.16999999999999</v>
      </c>
      <c r="H139" s="4">
        <f t="shared" si="12"/>
        <v>20719.720024345708</v>
      </c>
      <c r="I139" s="6">
        <f t="shared" si="13"/>
        <v>894909.23999999987</v>
      </c>
      <c r="J139" s="5">
        <f t="shared" si="14"/>
        <v>4.9131815012195016E-4</v>
      </c>
    </row>
    <row r="140" spans="2:10" x14ac:dyDescent="0.2">
      <c r="B140" t="s">
        <v>57</v>
      </c>
      <c r="C140" t="s">
        <v>56</v>
      </c>
      <c r="D140">
        <v>5623</v>
      </c>
      <c r="F140" t="s">
        <v>213</v>
      </c>
      <c r="G140">
        <v>115.53</v>
      </c>
      <c r="H140" s="4">
        <f t="shared" si="12"/>
        <v>20545.9719011204</v>
      </c>
      <c r="I140" s="6">
        <f t="shared" si="13"/>
        <v>649625.19000000006</v>
      </c>
      <c r="J140" s="5">
        <f t="shared" si="14"/>
        <v>3.5665364973035753E-4</v>
      </c>
    </row>
    <row r="141" spans="2:10" x14ac:dyDescent="0.2">
      <c r="B141" t="s">
        <v>201</v>
      </c>
      <c r="C141" t="s">
        <v>56</v>
      </c>
      <c r="D141">
        <v>15282</v>
      </c>
      <c r="F141" t="s">
        <v>213</v>
      </c>
      <c r="G141">
        <v>310.93</v>
      </c>
      <c r="H141" s="4">
        <f t="shared" si="12"/>
        <v>20346.158879727784</v>
      </c>
      <c r="I141" s="6">
        <f t="shared" si="13"/>
        <v>4751632.26</v>
      </c>
      <c r="J141" s="5">
        <f t="shared" si="14"/>
        <v>2.6087150156623496E-3</v>
      </c>
    </row>
    <row r="142" spans="2:10" x14ac:dyDescent="0.2">
      <c r="B142" t="s">
        <v>150</v>
      </c>
      <c r="C142" t="s">
        <v>56</v>
      </c>
      <c r="D142">
        <v>2771</v>
      </c>
      <c r="F142" t="s">
        <v>213</v>
      </c>
      <c r="G142">
        <v>52.75</v>
      </c>
      <c r="H142" s="4">
        <f t="shared" si="12"/>
        <v>19036.448935402383</v>
      </c>
      <c r="I142" s="6">
        <f t="shared" si="13"/>
        <v>146170.25</v>
      </c>
      <c r="J142" s="5">
        <f t="shared" si="14"/>
        <v>8.0249586911029092E-5</v>
      </c>
    </row>
    <row r="143" spans="2:10" x14ac:dyDescent="0.2">
      <c r="B143" t="s">
        <v>55</v>
      </c>
      <c r="C143" t="s">
        <v>56</v>
      </c>
      <c r="D143">
        <v>2645</v>
      </c>
      <c r="F143" t="s">
        <v>213</v>
      </c>
      <c r="G143">
        <v>49.1</v>
      </c>
      <c r="H143" s="4">
        <f t="shared" si="12"/>
        <v>18563.327032136105</v>
      </c>
      <c r="I143" s="6">
        <f t="shared" si="13"/>
        <v>129869.5</v>
      </c>
      <c r="J143" s="5">
        <f t="shared" si="14"/>
        <v>7.1300238778697388E-5</v>
      </c>
    </row>
    <row r="144" spans="2:10" x14ac:dyDescent="0.2">
      <c r="B144" t="s">
        <v>204</v>
      </c>
      <c r="C144" t="s">
        <v>56</v>
      </c>
      <c r="D144">
        <v>1396</v>
      </c>
      <c r="F144" t="s">
        <v>213</v>
      </c>
      <c r="G144">
        <v>25.78</v>
      </c>
      <c r="H144" s="4">
        <f t="shared" si="12"/>
        <v>18467.048710601721</v>
      </c>
      <c r="I144" s="6">
        <f t="shared" si="13"/>
        <v>35988.880000000005</v>
      </c>
      <c r="J144" s="5">
        <f t="shared" si="14"/>
        <v>1.975841700613221E-5</v>
      </c>
    </row>
    <row r="145" spans="2:10" x14ac:dyDescent="0.2">
      <c r="B145" t="s">
        <v>192</v>
      </c>
      <c r="C145" t="s">
        <v>56</v>
      </c>
      <c r="D145">
        <v>18508</v>
      </c>
      <c r="F145" t="s">
        <v>213</v>
      </c>
      <c r="G145">
        <v>338.86</v>
      </c>
      <c r="H145" s="4">
        <f t="shared" si="12"/>
        <v>18308.83942079101</v>
      </c>
      <c r="I145" s="6">
        <f t="shared" si="13"/>
        <v>6271620.8799999999</v>
      </c>
      <c r="J145" s="5">
        <f t="shared" si="14"/>
        <v>3.4432108098781024E-3</v>
      </c>
    </row>
    <row r="146" spans="2:10" x14ac:dyDescent="0.2">
      <c r="B146" t="s">
        <v>200</v>
      </c>
      <c r="C146" t="s">
        <v>56</v>
      </c>
      <c r="D146">
        <v>98240</v>
      </c>
      <c r="F146" t="s">
        <v>213</v>
      </c>
      <c r="G146">
        <v>1653.55</v>
      </c>
      <c r="H146" s="4">
        <f t="shared" si="12"/>
        <v>16831.738599348533</v>
      </c>
      <c r="I146" s="6">
        <f t="shared" si="13"/>
        <v>162444752</v>
      </c>
      <c r="J146" s="5">
        <f t="shared" si="14"/>
        <v>8.9184524510730237E-2</v>
      </c>
    </row>
    <row r="147" spans="2:10" x14ac:dyDescent="0.2">
      <c r="B147" t="s">
        <v>184</v>
      </c>
      <c r="C147" t="s">
        <v>56</v>
      </c>
      <c r="D147">
        <v>28410</v>
      </c>
      <c r="F147" t="s">
        <v>213</v>
      </c>
      <c r="G147">
        <v>431.42</v>
      </c>
      <c r="H147" s="4">
        <f t="shared" si="12"/>
        <v>15185.498064061951</v>
      </c>
      <c r="I147" s="6">
        <f t="shared" si="13"/>
        <v>12256642.200000001</v>
      </c>
      <c r="J147" s="5">
        <f t="shared" si="14"/>
        <v>6.7290743052453349E-3</v>
      </c>
    </row>
    <row r="148" spans="2:10" x14ac:dyDescent="0.2">
      <c r="B148" t="s">
        <v>193</v>
      </c>
      <c r="C148" t="s">
        <v>56</v>
      </c>
      <c r="D148">
        <v>18198</v>
      </c>
      <c r="F148" t="s">
        <v>213</v>
      </c>
      <c r="G148">
        <v>258.14</v>
      </c>
      <c r="H148" s="4">
        <f t="shared" si="12"/>
        <v>14185.075282998132</v>
      </c>
      <c r="I148" s="6">
        <f t="shared" si="13"/>
        <v>4697631.72</v>
      </c>
      <c r="J148" s="5">
        <f t="shared" si="14"/>
        <v>2.5790679361234387E-3</v>
      </c>
    </row>
    <row r="149" spans="2:10" x14ac:dyDescent="0.2">
      <c r="B149" t="s">
        <v>162</v>
      </c>
      <c r="C149" t="s">
        <v>56</v>
      </c>
      <c r="D149">
        <v>12728</v>
      </c>
      <c r="F149" t="s">
        <v>213</v>
      </c>
      <c r="G149">
        <v>177.42</v>
      </c>
      <c r="H149" s="4">
        <f t="shared" si="12"/>
        <v>13939.346323067253</v>
      </c>
      <c r="I149" s="6">
        <f t="shared" si="13"/>
        <v>2258201.7599999998</v>
      </c>
      <c r="J149" s="5">
        <f t="shared" si="14"/>
        <v>1.2397855131379939E-3</v>
      </c>
    </row>
    <row r="150" spans="2:10" x14ac:dyDescent="0.2">
      <c r="B150" t="s">
        <v>59</v>
      </c>
      <c r="C150" t="s">
        <v>56</v>
      </c>
      <c r="D150">
        <v>11692</v>
      </c>
      <c r="F150" t="s">
        <v>213</v>
      </c>
      <c r="G150">
        <v>140.13</v>
      </c>
      <c r="H150" s="4">
        <f t="shared" si="12"/>
        <v>11985.118029421827</v>
      </c>
      <c r="I150" s="6">
        <f t="shared" si="13"/>
        <v>1638399.96</v>
      </c>
      <c r="J150" s="5">
        <f t="shared" si="14"/>
        <v>8.9950533699604803E-4</v>
      </c>
    </row>
    <row r="151" spans="2:10" x14ac:dyDescent="0.2">
      <c r="B151" t="s">
        <v>211</v>
      </c>
      <c r="C151" t="s">
        <v>56</v>
      </c>
      <c r="D151">
        <v>7914</v>
      </c>
      <c r="F151" t="s">
        <v>213</v>
      </c>
      <c r="G151">
        <v>91.4</v>
      </c>
      <c r="H151" s="4">
        <f t="shared" si="12"/>
        <v>11549.153399039677</v>
      </c>
      <c r="I151" s="6">
        <f t="shared" si="13"/>
        <v>723339.60000000009</v>
      </c>
      <c r="J151" s="5">
        <f t="shared" si="14"/>
        <v>3.971239297763329E-4</v>
      </c>
    </row>
    <row r="152" spans="2:10" x14ac:dyDescent="0.2">
      <c r="B152" t="s">
        <v>206</v>
      </c>
      <c r="C152" t="s">
        <v>56</v>
      </c>
      <c r="D152">
        <v>6068</v>
      </c>
      <c r="F152" t="s">
        <v>213</v>
      </c>
      <c r="G152">
        <v>57.66</v>
      </c>
      <c r="H152" s="4">
        <f t="shared" si="12"/>
        <v>9502.3071852340145</v>
      </c>
      <c r="I152" s="6">
        <f t="shared" si="13"/>
        <v>349880.88</v>
      </c>
      <c r="J152" s="5">
        <f t="shared" si="14"/>
        <v>1.9208967685330867E-4</v>
      </c>
    </row>
    <row r="153" spans="2:10" x14ac:dyDescent="0.2">
      <c r="B153" t="s">
        <v>165</v>
      </c>
      <c r="C153" t="s">
        <v>56</v>
      </c>
      <c r="D153">
        <v>40923</v>
      </c>
      <c r="F153" t="s">
        <v>213</v>
      </c>
      <c r="G153">
        <v>297.73</v>
      </c>
      <c r="H153" s="4">
        <f t="shared" si="12"/>
        <v>7275.3708183662002</v>
      </c>
      <c r="I153" s="6">
        <f t="shared" si="13"/>
        <v>12184004.790000001</v>
      </c>
      <c r="J153" s="5">
        <f t="shared" si="14"/>
        <v>6.6891953138172771E-3</v>
      </c>
    </row>
    <row r="154" spans="2:10" x14ac:dyDescent="0.2">
      <c r="B154" t="s">
        <v>207</v>
      </c>
      <c r="C154" t="s">
        <v>56</v>
      </c>
      <c r="D154">
        <v>9511</v>
      </c>
      <c r="F154" t="s">
        <v>213</v>
      </c>
      <c r="G154">
        <v>67.95</v>
      </c>
      <c r="H154" s="4">
        <f t="shared" si="12"/>
        <v>7144.3591630743349</v>
      </c>
      <c r="I154" s="6">
        <f t="shared" si="13"/>
        <v>646272.45000000007</v>
      </c>
      <c r="J154" s="5">
        <f t="shared" si="14"/>
        <v>3.5481294685121433E-4</v>
      </c>
    </row>
    <row r="155" spans="2:10" x14ac:dyDescent="0.2">
      <c r="B155" t="s">
        <v>208</v>
      </c>
      <c r="C155" t="s">
        <v>56</v>
      </c>
      <c r="D155">
        <v>2375</v>
      </c>
      <c r="F155" t="s">
        <v>213</v>
      </c>
      <c r="G155">
        <v>16.37</v>
      </c>
      <c r="H155" s="4">
        <f t="shared" si="12"/>
        <v>6892.6315789473692</v>
      </c>
      <c r="I155" s="6">
        <f t="shared" si="13"/>
        <v>38878.75</v>
      </c>
      <c r="J155" s="5">
        <f t="shared" si="14"/>
        <v>2.134499754305115E-5</v>
      </c>
    </row>
    <row r="156" spans="2:10" x14ac:dyDescent="0.2">
      <c r="B156" t="s">
        <v>205</v>
      </c>
      <c r="C156" t="s">
        <v>56</v>
      </c>
      <c r="D156">
        <v>18312</v>
      </c>
      <c r="F156" t="s">
        <v>213</v>
      </c>
      <c r="G156">
        <v>102.99</v>
      </c>
      <c r="H156" s="4">
        <f t="shared" si="12"/>
        <v>5624.1808650065532</v>
      </c>
      <c r="I156" s="6">
        <f t="shared" si="13"/>
        <v>1885952.88</v>
      </c>
      <c r="J156" s="5">
        <f t="shared" si="14"/>
        <v>1.0354154799192422E-3</v>
      </c>
    </row>
    <row r="157" spans="2:10" x14ac:dyDescent="0.2">
      <c r="B157" t="s">
        <v>194</v>
      </c>
      <c r="C157" t="s">
        <v>56</v>
      </c>
      <c r="D157">
        <v>2103</v>
      </c>
      <c r="F157" t="s">
        <v>213</v>
      </c>
      <c r="G157">
        <v>9.86</v>
      </c>
      <c r="H157" s="4">
        <f t="shared" si="12"/>
        <v>4688.5401806942464</v>
      </c>
      <c r="I157" s="6">
        <f t="shared" si="13"/>
        <v>20735.579999999998</v>
      </c>
      <c r="J157" s="5">
        <f t="shared" si="14"/>
        <v>1.1384134113204269E-5</v>
      </c>
    </row>
    <row r="158" spans="2:10" x14ac:dyDescent="0.2">
      <c r="B158" t="s">
        <v>195</v>
      </c>
      <c r="C158" t="s">
        <v>56</v>
      </c>
      <c r="D158">
        <v>1618</v>
      </c>
      <c r="F158" t="s">
        <v>213</v>
      </c>
      <c r="G158">
        <v>6.68</v>
      </c>
      <c r="H158" s="4">
        <f t="shared" si="12"/>
        <v>4128.5537700865261</v>
      </c>
      <c r="I158" s="6">
        <f t="shared" si="13"/>
        <v>10808.24</v>
      </c>
      <c r="J158" s="5">
        <f t="shared" si="14"/>
        <v>5.9338804937069002E-6</v>
      </c>
    </row>
    <row r="159" spans="2:10" x14ac:dyDescent="0.2">
      <c r="B159" t="s">
        <v>196</v>
      </c>
      <c r="C159" t="s">
        <v>56</v>
      </c>
      <c r="D159">
        <v>4206</v>
      </c>
      <c r="F159" t="s">
        <v>213</v>
      </c>
      <c r="G159">
        <v>13.41</v>
      </c>
      <c r="H159" s="4">
        <f t="shared" si="12"/>
        <v>3188.3024251069901</v>
      </c>
      <c r="I159" s="6">
        <f t="shared" si="13"/>
        <v>56402.46</v>
      </c>
      <c r="J159" s="5">
        <f t="shared" si="14"/>
        <v>3.0965768449912629E-5</v>
      </c>
    </row>
    <row r="161" spans="9:10" x14ac:dyDescent="0.2">
      <c r="I161" s="6">
        <f>SUM(I4:I159)</f>
        <v>1821445513.0100005</v>
      </c>
      <c r="J161" s="7">
        <f>SUM(J4:J159)</f>
        <v>0.99999999999999956</v>
      </c>
    </row>
  </sheetData>
  <sortState ref="B4:J159">
    <sortCondition descending="1" ref="H4:H1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EarlyChildProgram estimates</vt:lpstr>
      <vt:lpstr>Results presentations</vt:lpstr>
      <vt:lpstr>Impact Results</vt:lpstr>
      <vt:lpstr>Annual compensation rate</vt:lpstr>
      <vt:lpstr>population estimates by age</vt:lpstr>
      <vt:lpstr>2015 jobs compensation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Walley</dc:creator>
  <cp:lastModifiedBy>Kendell Sweeney-Thomas</cp:lastModifiedBy>
  <cp:lastPrinted>2016-12-20T20:53:24Z</cp:lastPrinted>
  <dcterms:created xsi:type="dcterms:W3CDTF">2016-11-10T17:10:38Z</dcterms:created>
  <dcterms:modified xsi:type="dcterms:W3CDTF">2018-04-19T20:10:59Z</dcterms:modified>
</cp:coreProperties>
</file>